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2220" yWindow="60" windowWidth="25360" windowHeight="15820" tabRatio="779"/>
  </bookViews>
  <sheets>
    <sheet name="Chapter 14" sheetId="15" r:id="rId1"/>
    <sheet name="Chapter 15" sheetId="1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5" l="1"/>
  <c r="C33" i="15"/>
  <c r="C34" i="15"/>
  <c r="E25" i="15"/>
  <c r="C35" i="15"/>
  <c r="C38" i="15"/>
  <c r="C39" i="15"/>
  <c r="C40" i="15"/>
  <c r="C4" i="15"/>
  <c r="C12" i="15"/>
  <c r="C13" i="15"/>
  <c r="E4" i="15"/>
  <c r="C14" i="15"/>
  <c r="C17" i="15"/>
  <c r="C18" i="15"/>
  <c r="C19" i="15"/>
  <c r="C144" i="14"/>
  <c r="C145" i="14"/>
  <c r="D145" i="14"/>
  <c r="E145" i="14"/>
  <c r="F145" i="14"/>
  <c r="E159" i="14"/>
  <c r="C134" i="14"/>
  <c r="D134" i="14"/>
  <c r="E134" i="14"/>
  <c r="F134" i="14"/>
  <c r="C159" i="14"/>
  <c r="E157" i="14"/>
  <c r="E158" i="14"/>
  <c r="C157" i="14"/>
  <c r="C158" i="14"/>
  <c r="D150" i="14"/>
  <c r="C133" i="14"/>
  <c r="D133" i="14"/>
  <c r="E133" i="14"/>
  <c r="F133" i="14"/>
  <c r="G133" i="14"/>
  <c r="G134" i="14"/>
  <c r="D149" i="14"/>
  <c r="H150" i="14"/>
  <c r="C155" i="14"/>
  <c r="C136" i="14"/>
  <c r="D152" i="14"/>
  <c r="D153" i="14"/>
  <c r="C149" i="14"/>
  <c r="C152" i="14"/>
  <c r="C153" i="14"/>
  <c r="E152" i="14"/>
  <c r="H151" i="14"/>
  <c r="C151" i="14"/>
  <c r="G151" i="14"/>
  <c r="D151" i="14"/>
  <c r="E151" i="14"/>
  <c r="F151" i="14"/>
  <c r="G150" i="14"/>
  <c r="E150" i="14"/>
  <c r="F150" i="14"/>
  <c r="C137" i="14"/>
  <c r="C138" i="14"/>
  <c r="C139" i="14"/>
  <c r="C141" i="14"/>
  <c r="C142" i="14"/>
  <c r="C30" i="14"/>
  <c r="C31" i="14"/>
  <c r="C37" i="14"/>
  <c r="C38" i="14"/>
  <c r="C20" i="14"/>
  <c r="D31" i="14"/>
  <c r="E31" i="14"/>
  <c r="C39" i="14"/>
  <c r="C40" i="14"/>
  <c r="C33" i="14"/>
  <c r="C34" i="14"/>
  <c r="C35" i="14"/>
  <c r="G30" i="14"/>
  <c r="C18" i="14"/>
  <c r="D18" i="14"/>
  <c r="E18" i="14"/>
  <c r="F18" i="14"/>
  <c r="G18" i="14"/>
  <c r="G19" i="14"/>
  <c r="D30" i="14"/>
  <c r="E30" i="14"/>
  <c r="F30" i="14"/>
  <c r="C21" i="14"/>
  <c r="C22" i="14"/>
  <c r="C23" i="14"/>
  <c r="C25" i="14"/>
  <c r="C26" i="14"/>
  <c r="C244" i="14"/>
  <c r="D244" i="14"/>
  <c r="E244" i="14"/>
  <c r="F244" i="14"/>
  <c r="G244" i="14"/>
  <c r="G245" i="14"/>
  <c r="D258" i="14"/>
  <c r="C258" i="14"/>
  <c r="C246" i="14"/>
  <c r="D259" i="14"/>
  <c r="C247" i="14"/>
  <c r="C259" i="14"/>
  <c r="E259" i="14"/>
  <c r="D260" i="14"/>
  <c r="C273" i="14"/>
  <c r="D267" i="14"/>
  <c r="D270" i="14"/>
  <c r="D271" i="14"/>
  <c r="C267" i="14"/>
  <c r="C270" i="14"/>
  <c r="C271" i="14"/>
  <c r="E270" i="14"/>
  <c r="C269" i="14"/>
  <c r="G269" i="14"/>
  <c r="G268" i="14"/>
  <c r="C262" i="14"/>
  <c r="F263" i="14"/>
  <c r="E263" i="14"/>
  <c r="D263" i="14"/>
  <c r="C263" i="14"/>
  <c r="C260" i="14"/>
  <c r="G258" i="14"/>
  <c r="E258" i="14"/>
  <c r="F258" i="14"/>
  <c r="C248" i="14"/>
  <c r="C249" i="14"/>
  <c r="C251" i="14"/>
  <c r="C252" i="14"/>
  <c r="C254" i="14"/>
  <c r="I210" i="14"/>
  <c r="K209" i="14"/>
  <c r="I209" i="14"/>
  <c r="K213" i="14"/>
  <c r="K212" i="14"/>
  <c r="I212" i="14"/>
  <c r="D183" i="14"/>
  <c r="E183" i="14"/>
  <c r="F183" i="14"/>
  <c r="D184" i="14"/>
  <c r="E184" i="14"/>
  <c r="F184" i="14"/>
  <c r="D185" i="14"/>
  <c r="E185" i="14"/>
  <c r="F185" i="14"/>
  <c r="G186" i="14"/>
  <c r="G187" i="14"/>
  <c r="D202" i="14"/>
  <c r="E205" i="14"/>
  <c r="C205" i="14"/>
  <c r="D205" i="14"/>
  <c r="D206" i="14"/>
  <c r="C202" i="14"/>
  <c r="C206" i="14"/>
  <c r="C204" i="14"/>
  <c r="G204" i="14"/>
  <c r="G203" i="14"/>
  <c r="F198" i="14"/>
  <c r="E198" i="14"/>
  <c r="D198" i="14"/>
  <c r="F197" i="14"/>
  <c r="E197" i="14"/>
  <c r="D197" i="14"/>
  <c r="F196" i="14"/>
  <c r="E196" i="14"/>
  <c r="D196" i="14"/>
  <c r="C65" i="14"/>
  <c r="D65" i="14"/>
  <c r="E65" i="14"/>
  <c r="F65" i="14"/>
  <c r="G65" i="14"/>
  <c r="G66" i="14"/>
  <c r="D79" i="14"/>
  <c r="D97" i="14"/>
  <c r="C67" i="14"/>
  <c r="D101" i="14"/>
  <c r="D102" i="14"/>
  <c r="C79" i="14"/>
  <c r="C97" i="14"/>
  <c r="C82" i="14"/>
  <c r="C101" i="14"/>
  <c r="C102" i="14"/>
  <c r="E101" i="14"/>
  <c r="D80" i="14"/>
  <c r="D98" i="14"/>
  <c r="D99" i="14"/>
  <c r="D100" i="14"/>
  <c r="H100" i="14"/>
  <c r="C100" i="14"/>
  <c r="G100" i="14"/>
  <c r="E100" i="14"/>
  <c r="F100" i="14"/>
  <c r="H99" i="14"/>
  <c r="G99" i="14"/>
  <c r="E99" i="14"/>
  <c r="F99" i="14"/>
  <c r="H98" i="14"/>
  <c r="G98" i="14"/>
  <c r="E98" i="14"/>
  <c r="F98" i="14"/>
  <c r="D90" i="14"/>
  <c r="C87" i="14"/>
  <c r="E87" i="14"/>
  <c r="C89" i="14"/>
  <c r="C88" i="14"/>
  <c r="E89" i="14"/>
  <c r="E88" i="14"/>
  <c r="C91" i="14"/>
  <c r="H80" i="14"/>
  <c r="C85" i="14"/>
  <c r="D82" i="14"/>
  <c r="D83" i="14"/>
  <c r="C83" i="14"/>
  <c r="E82" i="14"/>
  <c r="H81" i="14"/>
  <c r="C81" i="14"/>
  <c r="G81" i="14"/>
  <c r="D81" i="14"/>
  <c r="E81" i="14"/>
  <c r="F81" i="14"/>
  <c r="G80" i="14"/>
  <c r="E80" i="14"/>
  <c r="F80" i="14"/>
  <c r="C68" i="14"/>
  <c r="C69" i="14"/>
  <c r="C70" i="14"/>
  <c r="C72" i="14"/>
  <c r="C73" i="14"/>
  <c r="D203" i="14"/>
  <c r="E203" i="14"/>
  <c r="F203" i="14"/>
  <c r="D204" i="14"/>
  <c r="E204" i="14"/>
  <c r="F204" i="14"/>
  <c r="H203" i="14"/>
  <c r="H204" i="14"/>
  <c r="D268" i="14"/>
  <c r="E268" i="14"/>
  <c r="F268" i="14"/>
  <c r="D269" i="14"/>
  <c r="E269" i="14"/>
  <c r="F269" i="14"/>
  <c r="H268" i="14"/>
  <c r="H269" i="14"/>
  <c r="D160" i="14"/>
  <c r="C161" i="14"/>
</calcChain>
</file>

<file path=xl/sharedStrings.xml><?xml version="1.0" encoding="utf-8"?>
<sst xmlns="http://schemas.openxmlformats.org/spreadsheetml/2006/main" count="404" uniqueCount="267">
  <si>
    <t>SS</t>
  </si>
  <si>
    <t>df</t>
  </si>
  <si>
    <t>MS</t>
  </si>
  <si>
    <t>Between</t>
  </si>
  <si>
    <r>
      <t>S</t>
    </r>
    <r>
      <rPr>
        <sz val="10"/>
        <color indexed="9"/>
        <rFont val="Verdana"/>
      </rPr>
      <t xml:space="preserve">X = </t>
    </r>
  </si>
  <si>
    <r>
      <t>S</t>
    </r>
    <r>
      <rPr>
        <sz val="10"/>
        <color indexed="9"/>
        <rFont val="Verdana"/>
      </rPr>
      <t xml:space="preserve">Y = </t>
    </r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</si>
  <si>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X)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</si>
  <si>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Y)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</si>
  <si>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r>
      <t>r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</si>
  <si>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r>
      <t>s</t>
    </r>
    <r>
      <rPr>
        <sz val="10"/>
        <color indexed="9"/>
        <rFont val="Verdana"/>
      </rPr>
      <t xml:space="preserve"> = </t>
    </r>
  </si>
  <si>
    <r>
      <t>a</t>
    </r>
    <r>
      <rPr>
        <vertAlign val="subscript"/>
        <sz val="10"/>
        <color indexed="9"/>
        <rFont val="Times"/>
      </rPr>
      <t>j</t>
    </r>
    <r>
      <rPr>
        <sz val="10"/>
        <color indexed="9"/>
        <rFont val="Times"/>
      </rPr>
      <t>'s</t>
    </r>
  </si>
  <si>
    <t>INSTRUCTIONS</t>
    <phoneticPr fontId="10" type="noConversion"/>
  </si>
  <si>
    <t>a.</t>
    <phoneticPr fontId="10" type="noConversion"/>
  </si>
  <si>
    <t>Plot the four means with 95% confidence intervals</t>
    <phoneticPr fontId="10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</si>
  <si>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's:</t>
    </r>
  </si>
  <si>
    <t xml:space="preserve"> = T</t>
    <phoneticPr fontId="10" type="noConversion"/>
  </si>
  <si>
    <t xml:space="preserve"> = N</t>
    <phoneticPr fontId="10" type="noConversion"/>
  </si>
  <si>
    <t xml:space="preserve">SSW = </t>
    <phoneticPr fontId="10" type="noConversion"/>
  </si>
  <si>
    <t xml:space="preserve">dfW = </t>
    <phoneticPr fontId="10" type="noConversion"/>
  </si>
  <si>
    <t xml:space="preserve">MSW = </t>
    <phoneticPr fontId="10" type="noConversion"/>
  </si>
  <si>
    <r>
      <t xml:space="preserve">relevant </t>
    </r>
    <r>
      <rPr>
        <sz val="10"/>
        <color indexed="9"/>
        <rFont val="Symbol"/>
      </rPr>
      <t>s</t>
    </r>
    <r>
      <rPr>
        <vertAlign val="subscript"/>
        <sz val="10"/>
        <color indexed="9"/>
        <rFont val="Verdana"/>
      </rPr>
      <t>M</t>
    </r>
    <r>
      <rPr>
        <sz val="10"/>
        <color indexed="9"/>
        <rFont val="Verdana"/>
      </rPr>
      <t xml:space="preserve"> = </t>
    </r>
  </si>
  <si>
    <t xml:space="preserve">Percent conf = </t>
    <phoneticPr fontId="10" type="noConversion"/>
  </si>
  <si>
    <t>b.</t>
    <phoneticPr fontId="10" type="noConversion"/>
  </si>
  <si>
    <t>ANOVA</t>
    <phoneticPr fontId="10" type="noConversion"/>
  </si>
  <si>
    <t>Source</t>
    <phoneticPr fontId="10" type="noConversion"/>
  </si>
  <si>
    <t>df</t>
    <phoneticPr fontId="10" type="noConversion"/>
  </si>
  <si>
    <t>SS</t>
    <phoneticPr fontId="10" type="noConversion"/>
  </si>
  <si>
    <t>MS</t>
    <phoneticPr fontId="10" type="noConversion"/>
  </si>
  <si>
    <t>Obt F</t>
    <phoneticPr fontId="10" type="noConversion"/>
  </si>
  <si>
    <t>Crit F</t>
    <phoneticPr fontId="10" type="noConversion"/>
  </si>
  <si>
    <t>Within</t>
    <phoneticPr fontId="10" type="noConversion"/>
  </si>
  <si>
    <t>Problem 2</t>
    <phoneticPr fontId="10" type="noConversion"/>
  </si>
  <si>
    <t xml:space="preserve">J = </t>
    <phoneticPr fontId="10" type="noConversion"/>
  </si>
  <si>
    <r>
      <t>m</t>
    </r>
    <r>
      <rPr>
        <sz val="10"/>
        <color indexed="9"/>
        <rFont val="Verdana"/>
      </rPr>
      <t xml:space="preserve"> = </t>
    </r>
  </si>
  <si>
    <r>
      <t>m</t>
    </r>
    <r>
      <rPr>
        <vertAlign val="subscript"/>
        <sz val="10"/>
        <color indexed="9"/>
        <rFont val="Times"/>
      </rPr>
      <t>j</t>
    </r>
    <r>
      <rPr>
        <sz val="10"/>
        <color indexed="9"/>
        <rFont val="Times"/>
      </rPr>
      <t>'s</t>
    </r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</si>
  <si>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's:</t>
    </r>
  </si>
  <si>
    <t>What are the weights corresponding to the hypothesis of a linear increase in height across number of grams Plot these weights as a function of number of grams.</t>
    <phoneticPr fontId="10" type="noConversion"/>
  </si>
  <si>
    <t>c.</t>
    <phoneticPr fontId="10" type="noConversion"/>
  </si>
  <si>
    <t>Carry out an ANOVA. Do not test the significance of the overall effect of groups. Instead test the effects of the linear hypothesis and the residual.</t>
    <phoneticPr fontId="10" type="noConversion"/>
  </si>
  <si>
    <t>d.</t>
    <phoneticPr fontId="10" type="noConversion"/>
  </si>
  <si>
    <t xml:space="preserve">What percent of SSB is accounted for by the linear hypothesis? </t>
    <phoneticPr fontId="10" type="noConversion"/>
  </si>
  <si>
    <r>
      <t xml:space="preserve">  Compute, using the formulas from Chapter 14, the Pearson r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between the M</t>
    </r>
    <r>
      <rPr>
        <vertAlign val="subscript"/>
        <sz val="10"/>
        <rFont val="Verdana"/>
      </rPr>
      <t>j</t>
    </r>
    <r>
      <rPr>
        <sz val="10"/>
        <rFont val="Verdana"/>
      </rPr>
      <t>'s and the w</t>
    </r>
    <r>
      <rPr>
        <vertAlign val="subscript"/>
        <sz val="10"/>
        <rFont val="Verdana"/>
      </rPr>
      <t>j</t>
    </r>
    <r>
      <rPr>
        <sz val="10"/>
        <rFont val="Verdana"/>
      </rPr>
      <t>'s.</t>
    </r>
  </si>
  <si>
    <r>
      <t xml:space="preserve">  What is the relation between this r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and the percent variance accounted for by the hypothesis?</t>
    </r>
  </si>
  <si>
    <t>e.</t>
    <phoneticPr fontId="10" type="noConversion"/>
  </si>
  <si>
    <t>Make up a second hypothesis, independent of the first, that height increases as MiracuGrow increases from 0 to 6 grams,</t>
    <phoneticPr fontId="10" type="noConversion"/>
  </si>
  <si>
    <t xml:space="preserve">  but then decreases symetrically as amount of MiracuGrow further increases beyond 6 grams. Re-do your ANOVA including both hypotheses.</t>
    <phoneticPr fontId="1" type="noConversion"/>
  </si>
  <si>
    <t xml:space="preserve">Criterion t = </t>
    <phoneticPr fontId="10" type="noConversion"/>
  </si>
  <si>
    <t xml:space="preserve">CI magnitude = </t>
    <phoneticPr fontId="10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</si>
  <si>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's:</t>
    </r>
  </si>
  <si>
    <t>ANOVA</t>
    <phoneticPr fontId="10" type="noConversion"/>
  </si>
  <si>
    <t>Source</t>
    <phoneticPr fontId="10" type="noConversion"/>
  </si>
  <si>
    <t>df</t>
    <phoneticPr fontId="10" type="noConversion"/>
  </si>
  <si>
    <t>SS</t>
    <phoneticPr fontId="10" type="noConversion"/>
  </si>
  <si>
    <t>% variance</t>
    <phoneticPr fontId="10" type="noConversion"/>
  </si>
  <si>
    <t>Between</t>
    <phoneticPr fontId="10" type="noConversion"/>
  </si>
  <si>
    <t>Hypothesis</t>
    <phoneticPr fontId="10" type="noConversion"/>
  </si>
  <si>
    <t>Residual</t>
    <phoneticPr fontId="10" type="noConversion"/>
  </si>
  <si>
    <t>Total</t>
    <phoneticPr fontId="10" type="noConversion"/>
  </si>
  <si>
    <t>d.</t>
    <phoneticPr fontId="10" type="noConversion"/>
  </si>
  <si>
    <r>
      <t>From ANOVA: r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</si>
  <si>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t>From equations:</t>
    <phoneticPr fontId="10" type="noConversion"/>
  </si>
  <si>
    <t>Note that we substitute J=4 for "n" since we just have J=4 points over which we're computing the correlation</t>
    <phoneticPr fontId="10" type="noConversion"/>
  </si>
  <si>
    <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>X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</si>
  <si>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>Y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</si>
  <si>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XY = </t>
    </r>
  </si>
  <si>
    <t>e.</t>
    <phoneticPr fontId="10" type="noConversion"/>
  </si>
  <si>
    <t>% variance</t>
    <phoneticPr fontId="10" type="noConversion"/>
  </si>
  <si>
    <t>Between</t>
    <phoneticPr fontId="10" type="noConversion"/>
  </si>
  <si>
    <t>H1</t>
    <phoneticPr fontId="10" type="noConversion"/>
  </si>
  <si>
    <t>H2</t>
    <phoneticPr fontId="10" type="noConversion"/>
  </si>
  <si>
    <t>Residual</t>
    <phoneticPr fontId="10" type="noConversion"/>
  </si>
  <si>
    <t>Within</t>
    <phoneticPr fontId="10" type="noConversion"/>
  </si>
  <si>
    <t>INSTRUCTIONS</t>
  </si>
  <si>
    <t>a.</t>
  </si>
  <si>
    <t>b.</t>
  </si>
  <si>
    <t>ANOVA</t>
  </si>
  <si>
    <t>Source</t>
  </si>
  <si>
    <t>Obt F</t>
  </si>
  <si>
    <t>Crit F</t>
  </si>
  <si>
    <t>% variance</t>
  </si>
  <si>
    <t>Hypothesis</t>
  </si>
  <si>
    <t>Residual</t>
  </si>
  <si>
    <t>Within</t>
  </si>
  <si>
    <t>Total</t>
  </si>
  <si>
    <t>Problem 15</t>
    <phoneticPr fontId="1" type="noConversion"/>
  </si>
  <si>
    <r>
      <t>M</t>
    </r>
    <r>
      <rPr>
        <vertAlign val="subscript"/>
        <sz val="10"/>
        <color indexed="9"/>
        <rFont val="Verdana"/>
      </rPr>
      <t>jk</t>
    </r>
    <r>
      <rPr>
        <sz val="10"/>
        <color indexed="9"/>
        <rFont val="Verdana"/>
      </rPr>
      <t>'s</t>
    </r>
  </si>
  <si>
    <t>Factor 1</t>
    <phoneticPr fontId="1" type="noConversion"/>
  </si>
  <si>
    <t>L2</t>
    <phoneticPr fontId="1" type="noConversion"/>
  </si>
  <si>
    <t>L3</t>
    <phoneticPr fontId="1" type="noConversion"/>
  </si>
  <si>
    <t>L1</t>
    <phoneticPr fontId="1" type="noConversion"/>
  </si>
  <si>
    <t>Factor 2</t>
    <phoneticPr fontId="1" type="noConversion"/>
  </si>
  <si>
    <t>L2</t>
    <phoneticPr fontId="1" type="noConversion"/>
  </si>
  <si>
    <t>Make up a set of weights to reflect the hypothesis shown by the graph in the text. Make your weights integers if possible.</t>
    <phoneticPr fontId="1" type="noConversion"/>
  </si>
  <si>
    <t xml:space="preserve">  Plot your weights as if they were means</t>
    <phoneticPr fontId="1" type="noConversion"/>
  </si>
  <si>
    <t>Test the hypothesis and the residual. Show your results in an ANOVA table</t>
    <phoneticPr fontId="1" type="noConversion"/>
  </si>
  <si>
    <r>
      <t>T</t>
    </r>
    <r>
      <rPr>
        <vertAlign val="subscript"/>
        <sz val="10"/>
        <color indexed="9"/>
        <rFont val="Verdana"/>
      </rPr>
      <t>jk</t>
    </r>
    <r>
      <rPr>
        <sz val="10"/>
        <color indexed="9"/>
        <rFont val="Verdana"/>
      </rPr>
      <t>'s</t>
    </r>
  </si>
  <si>
    <t>L1</t>
    <phoneticPr fontId="1" type="noConversion"/>
  </si>
  <si>
    <t>L3</t>
    <phoneticPr fontId="1" type="noConversion"/>
  </si>
  <si>
    <t>Factor 2</t>
    <phoneticPr fontId="1" type="noConversion"/>
  </si>
  <si>
    <t xml:space="preserve"> = T</t>
    <phoneticPr fontId="1" type="noConversion"/>
  </si>
  <si>
    <t xml:space="preserve"> = N</t>
    <phoneticPr fontId="1" type="noConversion"/>
  </si>
  <si>
    <t>a.</t>
    <phoneticPr fontId="1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</si>
  <si>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 (Pass 1)</t>
    </r>
  </si>
  <si>
    <t>Factor 1</t>
    <phoneticPr fontId="1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</si>
  <si>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 (Pass 2)</t>
    </r>
  </si>
  <si>
    <t>b</t>
    <phoneticPr fontId="1" type="noConversion"/>
  </si>
  <si>
    <t>Problem 16</t>
    <phoneticPr fontId="1" type="noConversion"/>
  </si>
  <si>
    <r>
      <t>H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 xml:space="preserve"> = </t>
    </r>
  </si>
  <si>
    <r>
      <t>Sum (H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>xH</t>
    </r>
    <r>
      <rPr>
        <vertAlign val="subscript"/>
        <sz val="10"/>
        <color indexed="9"/>
        <rFont val="Verdana"/>
      </rPr>
      <t>2</t>
    </r>
    <r>
      <rPr>
        <sz val="10"/>
        <color indexed="9"/>
        <rFont val="Verdana"/>
      </rPr>
      <t xml:space="preserve">) = </t>
    </r>
  </si>
  <si>
    <r>
      <t>H</t>
    </r>
    <r>
      <rPr>
        <vertAlign val="sub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</si>
  <si>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t xml:space="preserve">Sum = </t>
    <phoneticPr fontId="1" type="noConversion"/>
  </si>
  <si>
    <r>
      <t>H</t>
    </r>
    <r>
      <rPr>
        <vertAlign val="subscript"/>
        <sz val="10"/>
        <color indexed="9"/>
        <rFont val="Verdana"/>
      </rPr>
      <t>3</t>
    </r>
    <r>
      <rPr>
        <sz val="10"/>
        <color indexed="9"/>
        <rFont val="Verdana"/>
      </rPr>
      <t xml:space="preserve"> = </t>
    </r>
  </si>
  <si>
    <r>
      <t>Sum (H</t>
    </r>
    <r>
      <rPr>
        <vertAlign val="subscript"/>
        <sz val="10"/>
        <color indexed="9"/>
        <rFont val="Verdana"/>
      </rPr>
      <t>2</t>
    </r>
    <r>
      <rPr>
        <sz val="10"/>
        <color indexed="9"/>
        <rFont val="Verdana"/>
      </rPr>
      <t>xH</t>
    </r>
    <r>
      <rPr>
        <vertAlign val="subscript"/>
        <sz val="10"/>
        <color indexed="9"/>
        <rFont val="Verdana"/>
      </rPr>
      <t>3</t>
    </r>
    <r>
      <rPr>
        <sz val="10"/>
        <color indexed="9"/>
        <rFont val="Verdana"/>
      </rPr>
      <t xml:space="preserve">) = </t>
    </r>
  </si>
  <si>
    <r>
      <t>Sum (H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>xH</t>
    </r>
    <r>
      <rPr>
        <vertAlign val="subscript"/>
        <sz val="10"/>
        <color indexed="9"/>
        <rFont val="Verdana"/>
      </rPr>
      <t>3</t>
    </r>
    <r>
      <rPr>
        <sz val="10"/>
        <color indexed="9"/>
        <rFont val="Verdana"/>
      </rPr>
      <t xml:space="preserve">) = </t>
    </r>
  </si>
  <si>
    <r>
      <t>Make up a third hypothesis, H</t>
    </r>
    <r>
      <rPr>
        <vertAlign val="subscript"/>
        <sz val="10"/>
        <rFont val="Verdana"/>
      </rPr>
      <t>3</t>
    </r>
    <r>
      <rPr>
        <sz val="10"/>
        <rFont val="Verdana"/>
      </rPr>
      <t>, that is independent of 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and H</t>
    </r>
    <r>
      <rPr>
        <vertAlign val="subscript"/>
        <sz val="10"/>
        <rFont val="Verdana"/>
      </rPr>
      <t>2</t>
    </r>
    <r>
      <rPr>
        <sz val="10"/>
        <rFont val="Verdana"/>
      </rPr>
      <t>.</t>
    </r>
  </si>
  <si>
    <t>Group:</t>
    <phoneticPr fontId="3" type="noConversion"/>
  </si>
  <si>
    <t>GIVEN</t>
    <phoneticPr fontId="10" type="noConversion"/>
  </si>
  <si>
    <t>n =</t>
    <phoneticPr fontId="10" type="noConversion"/>
  </si>
  <si>
    <t xml:space="preserve">SSW = </t>
    <phoneticPr fontId="10" type="noConversion"/>
  </si>
  <si>
    <t>I</t>
    <phoneticPr fontId="3" type="noConversion"/>
  </si>
  <si>
    <t>II</t>
    <phoneticPr fontId="3" type="noConversion"/>
  </si>
  <si>
    <t>III</t>
    <phoneticPr fontId="3" type="noConversion"/>
  </si>
  <si>
    <t>IV</t>
    <phoneticPr fontId="3" type="noConversion"/>
  </si>
  <si>
    <t>Weight (grams):</t>
    <phoneticPr fontId="3" type="noConversion"/>
  </si>
  <si>
    <t>GIVEN</t>
    <phoneticPr fontId="3" type="noConversion"/>
  </si>
  <si>
    <t xml:space="preserve">MSW = </t>
    <phoneticPr fontId="3" type="noConversion"/>
  </si>
  <si>
    <t xml:space="preserve">n = </t>
    <phoneticPr fontId="3" type="noConversion"/>
  </si>
  <si>
    <t xml:space="preserve">J = </t>
    <phoneticPr fontId="3" type="noConversion"/>
  </si>
  <si>
    <t xml:space="preserve">K = </t>
    <phoneticPr fontId="3" type="noConversion"/>
  </si>
  <si>
    <t>Assume graph provided in the text</t>
    <phoneticPr fontId="3" type="noConversion"/>
  </si>
  <si>
    <t>Factor 1</t>
    <phoneticPr fontId="3" type="noConversion"/>
  </si>
  <si>
    <t>L1</t>
    <phoneticPr fontId="3" type="noConversion"/>
  </si>
  <si>
    <t>L2</t>
    <phoneticPr fontId="3" type="noConversion"/>
  </si>
  <si>
    <t>L3</t>
    <phoneticPr fontId="3" type="noConversion"/>
  </si>
  <si>
    <t>Factor 2</t>
    <phoneticPr fontId="3" type="noConversion"/>
  </si>
  <si>
    <t xml:space="preserve">Sum = </t>
    <phoneticPr fontId="3" type="noConversion"/>
  </si>
  <si>
    <t xml:space="preserve">Sum = </t>
    <phoneticPr fontId="3" type="noConversion"/>
  </si>
  <si>
    <t>Problem 20</t>
    <phoneticPr fontId="2" type="noConversion"/>
  </si>
  <si>
    <t>Plot the means with a 95% confidence interval around them.</t>
    <phoneticPr fontId="2" type="noConversion"/>
  </si>
  <si>
    <t>b.</t>
    <phoneticPr fontId="2" type="noConversion"/>
  </si>
  <si>
    <t>State the value of the confidence interval in dollars; note that the data are stated in terms of thousands of dollars.</t>
    <phoneticPr fontId="2" type="noConversion"/>
  </si>
  <si>
    <t xml:space="preserve">  What does the confidence interval magnitude tell you about the power of the experiment?</t>
    <phoneticPr fontId="2" type="noConversion"/>
  </si>
  <si>
    <t>c.</t>
    <phoneticPr fontId="2" type="noConversion"/>
  </si>
  <si>
    <t>Carry out a standard ANOVA. Include "Total" as an entry in your ANOVA table. Is the study correct in reporting a significant effect of height on income?</t>
    <phoneticPr fontId="2" type="noConversion"/>
  </si>
  <si>
    <t>d.</t>
    <phoneticPr fontId="2" type="noConversion"/>
  </si>
  <si>
    <t>Make up a set of weights to reflect the hypothesis that the means increase linearly with the value of the independent variable.</t>
    <phoneticPr fontId="2" type="noConversion"/>
  </si>
  <si>
    <t xml:space="preserve">  Plot your weights as if they were means.</t>
    <phoneticPr fontId="2" type="noConversion"/>
  </si>
  <si>
    <t>e.</t>
    <phoneticPr fontId="2" type="noConversion"/>
  </si>
  <si>
    <t>Test the hypothesis and the residual. Show your results in an ANOVA table. What would the results tell you about the relation between height and income?</t>
    <phoneticPr fontId="2" type="noConversion"/>
  </si>
  <si>
    <t>f.</t>
    <phoneticPr fontId="2" type="noConversion"/>
  </si>
  <si>
    <r>
      <t xml:space="preserve">Compute the value of </t>
    </r>
    <r>
      <rPr>
        <sz val="10"/>
        <rFont val="Symbol"/>
      </rPr>
      <t>w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for these data. What does your answer tell you about the relation between height and income?</t>
    </r>
  </si>
  <si>
    <t xml:space="preserve"> = T</t>
    <phoneticPr fontId="2" type="noConversion"/>
  </si>
  <si>
    <t xml:space="preserve"> = N</t>
    <phoneticPr fontId="2" type="noConversion"/>
  </si>
  <si>
    <t xml:space="preserve">SSW = </t>
    <phoneticPr fontId="10" type="noConversion"/>
  </si>
  <si>
    <t xml:space="preserve">dfW = </t>
    <phoneticPr fontId="10" type="noConversion"/>
  </si>
  <si>
    <t xml:space="preserve">Criterion t = </t>
    <phoneticPr fontId="10" type="noConversion"/>
  </si>
  <si>
    <t xml:space="preserve">CI magnitude = </t>
    <phoneticPr fontId="10" type="noConversion"/>
  </si>
  <si>
    <t xml:space="preserve">CI magnitude (dollars) = </t>
    <phoneticPr fontId="2" type="noConversion"/>
  </si>
  <si>
    <r>
      <t xml:space="preserve">This means that the experiment was extremely powerful; the values of the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 are very well known.</t>
    </r>
  </si>
  <si>
    <t>c.</t>
    <phoneticPr fontId="10" type="noConversion"/>
  </si>
  <si>
    <t>ANOVA</t>
    <phoneticPr fontId="10" type="noConversion"/>
  </si>
  <si>
    <t>Source</t>
    <phoneticPr fontId="10" type="noConversion"/>
  </si>
  <si>
    <t>SS</t>
    <phoneticPr fontId="10" type="noConversion"/>
  </si>
  <si>
    <t>MS</t>
    <phoneticPr fontId="10" type="noConversion"/>
  </si>
  <si>
    <t>Crit F</t>
    <phoneticPr fontId="10" type="noConversion"/>
  </si>
  <si>
    <t>Between</t>
    <phoneticPr fontId="10" type="noConversion"/>
  </si>
  <si>
    <t>Within</t>
    <phoneticPr fontId="10" type="noConversion"/>
  </si>
  <si>
    <t>Total</t>
    <phoneticPr fontId="2" type="noConversion"/>
  </si>
  <si>
    <t xml:space="preserve">Mean IV value = </t>
    <phoneticPr fontId="2" type="noConversion"/>
  </si>
  <si>
    <r>
      <t>w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</t>
    </r>
  </si>
  <si>
    <t>Alex reads a story on the internet about a study in which it was claimed that "taller men make significantly more money than shorter men." The story went on to speculate about this</t>
    <phoneticPr fontId="3" type="noConversion"/>
  </si>
  <si>
    <t xml:space="preserve">  relation, hypothesizing that taller people are perceived as more powerful or smarter and for this reason they tend to be offered more money.</t>
    <phoneticPr fontId="3" type="noConversion"/>
  </si>
  <si>
    <t>Upon investigation, Alex discovers that the study investigated four groups of men whose heights averaged (in feet): 5.10, 5.40, 6.00, and 6.50. The study was a very big one: there were</t>
    <phoneticPr fontId="3" type="noConversion"/>
  </si>
  <si>
    <t xml:space="preserve"> 20,000 subjects in each of the four groups. Alex managed to obtain the data from this experiment. Summarized, they were as follows.</t>
    <phoneticPr fontId="3" type="noConversion"/>
  </si>
  <si>
    <t xml:space="preserve">n = </t>
    <phoneticPr fontId="3" type="noConversion"/>
  </si>
  <si>
    <t xml:space="preserve">J = </t>
    <phoneticPr fontId="3" type="noConversion"/>
  </si>
  <si>
    <t xml:space="preserve">SSW = </t>
    <phoneticPr fontId="3" type="noConversion"/>
  </si>
  <si>
    <t>Group:</t>
    <phoneticPr fontId="3" type="noConversion"/>
  </si>
  <si>
    <t>Height:</t>
    <phoneticPr fontId="3" type="noConversion"/>
  </si>
  <si>
    <t>Mean income (thousands)</t>
    <phoneticPr fontId="3" type="noConversion"/>
  </si>
  <si>
    <t>Problem 1</t>
    <phoneticPr fontId="1" type="noConversion"/>
  </si>
  <si>
    <t>GIVEN</t>
  </si>
  <si>
    <t>n =</t>
  </si>
  <si>
    <t xml:space="preserve">J = </t>
  </si>
  <si>
    <t xml:space="preserve">SSW = </t>
  </si>
  <si>
    <t>Group:</t>
    <phoneticPr fontId="4" type="noConversion"/>
  </si>
  <si>
    <t>INSTRUCTIONS</t>
    <phoneticPr fontId="11" type="noConversion"/>
  </si>
  <si>
    <t>a.</t>
    <phoneticPr fontId="11" type="noConversion"/>
  </si>
  <si>
    <t>Plot the four means with 95% confidence intervals</t>
    <phoneticPr fontId="11" type="noConversion"/>
  </si>
  <si>
    <t>b.</t>
    <phoneticPr fontId="1" type="noConversion"/>
  </si>
  <si>
    <t>Perform an ANOVA on these data</t>
    <phoneticPr fontId="1" type="noConversion"/>
  </si>
  <si>
    <t>c.</t>
    <phoneticPr fontId="1" type="noConversion"/>
  </si>
  <si>
    <t>By how much must two group means differ to be significant by an LSD test?</t>
    <phoneticPr fontId="1" type="noConversion"/>
  </si>
  <si>
    <r>
      <t>a</t>
    </r>
    <r>
      <rPr>
        <sz val="10"/>
        <rFont val="Verdana"/>
      </rPr>
      <t xml:space="preserve"> = </t>
    </r>
  </si>
  <si>
    <t>d.</t>
    <phoneticPr fontId="1" type="noConversion"/>
  </si>
  <si>
    <t>By how much must two group means differ to be significant by a Scheffé test?</t>
    <phoneticPr fontId="1" type="noConversion"/>
  </si>
  <si>
    <t xml:space="preserve"> = T</t>
    <phoneticPr fontId="11" type="noConversion"/>
  </si>
  <si>
    <t xml:space="preserve"> = N</t>
    <phoneticPr fontId="11" type="noConversion"/>
  </si>
  <si>
    <t xml:space="preserve">SSW = </t>
    <phoneticPr fontId="11" type="noConversion"/>
  </si>
  <si>
    <t xml:space="preserve">dfW = </t>
    <phoneticPr fontId="11" type="noConversion"/>
  </si>
  <si>
    <t xml:space="preserve">MSW = </t>
    <phoneticPr fontId="11" type="noConversion"/>
  </si>
  <si>
    <t xml:space="preserve">Percent conf = </t>
    <phoneticPr fontId="11" type="noConversion"/>
  </si>
  <si>
    <t xml:space="preserve">Criterion t = </t>
    <phoneticPr fontId="11" type="noConversion"/>
  </si>
  <si>
    <t xml:space="preserve">CI magnitude = </t>
    <phoneticPr fontId="11" type="noConversion"/>
  </si>
  <si>
    <t>b.</t>
    <phoneticPr fontId="11" type="noConversion"/>
  </si>
  <si>
    <t>ANOVA</t>
    <phoneticPr fontId="11" type="noConversion"/>
  </si>
  <si>
    <t>Source</t>
    <phoneticPr fontId="11" type="noConversion"/>
  </si>
  <si>
    <t>df</t>
    <phoneticPr fontId="11" type="noConversion"/>
  </si>
  <si>
    <t>SS</t>
    <phoneticPr fontId="11" type="noConversion"/>
  </si>
  <si>
    <t>MS</t>
    <phoneticPr fontId="11" type="noConversion"/>
  </si>
  <si>
    <t>Obt F</t>
    <phoneticPr fontId="11" type="noConversion"/>
  </si>
  <si>
    <t>Crit F</t>
    <phoneticPr fontId="11" type="noConversion"/>
  </si>
  <si>
    <t>Between</t>
    <phoneticPr fontId="11" type="noConversion"/>
  </si>
  <si>
    <t>Within</t>
    <phoneticPr fontId="11" type="noConversion"/>
  </si>
  <si>
    <t>Criterion t =</t>
    <phoneticPr fontId="11" type="noConversion"/>
  </si>
  <si>
    <t xml:space="preserve">LSD = </t>
    <phoneticPr fontId="1" type="noConversion"/>
  </si>
  <si>
    <t>d.</t>
    <phoneticPr fontId="1" type="noConversion"/>
  </si>
  <si>
    <t>Criterion F =</t>
    <phoneticPr fontId="11" type="noConversion"/>
  </si>
  <si>
    <t>Problem 5</t>
    <phoneticPr fontId="1" type="noConversion"/>
  </si>
  <si>
    <t>Seattle</t>
    <phoneticPr fontId="11" type="noConversion"/>
  </si>
  <si>
    <t>Boise</t>
    <phoneticPr fontId="11" type="noConversion"/>
  </si>
  <si>
    <t>Denver</t>
    <phoneticPr fontId="11" type="noConversion"/>
  </si>
  <si>
    <t>Taos</t>
    <phoneticPr fontId="11" type="noConversion"/>
  </si>
  <si>
    <t>Altitude (ft):</t>
    <phoneticPr fontId="4" type="noConversion"/>
  </si>
  <si>
    <t>Plot the four means with 95% confidence intervals</t>
  </si>
  <si>
    <t>What are the weights corresponding to the hypothesis that running times increase linearly with altitude? If possible, make the weights integers.</t>
    <phoneticPr fontId="1" type="noConversion"/>
  </si>
  <si>
    <t xml:space="preserve">  If possible, make your weights integers. Plot your weights as a function of altitude.</t>
    <phoneticPr fontId="1" type="noConversion"/>
  </si>
  <si>
    <t>c.</t>
  </si>
  <si>
    <t>Carry out an ANOVA. Do not test the significance of the overall effect of groups. Instead test the effects of the linear hypothesis and the residual.</t>
  </si>
  <si>
    <t>d.</t>
  </si>
  <si>
    <t xml:space="preserve">What percent of SSB is accounted for by the linear hypothesis? </t>
    <phoneticPr fontId="11" type="noConversion"/>
  </si>
  <si>
    <t xml:space="preserve"> = T</t>
  </si>
  <si>
    <t xml:space="preserve"> = N</t>
  </si>
  <si>
    <t xml:space="preserve">Mean altitude = </t>
    <phoneticPr fontId="1" type="noConversion"/>
  </si>
  <si>
    <t>From equations:</t>
    <phoneticPr fontId="11" type="noConversion"/>
  </si>
  <si>
    <t>Note that we substitute J=4 for "n" since we just have J=4 points over which we're computing the correlation</t>
  </si>
  <si>
    <t>Additional 1</t>
    <phoneticPr fontId="11" type="noConversion"/>
  </si>
  <si>
    <t>X scores</t>
    <phoneticPr fontId="11" type="noConversion"/>
  </si>
  <si>
    <t>Y scores</t>
    <phoneticPr fontId="11" type="noConversion"/>
  </si>
  <si>
    <r>
      <t>m</t>
    </r>
    <r>
      <rPr>
        <vertAlign val="subscript"/>
        <sz val="10"/>
        <rFont val="Verdana"/>
      </rPr>
      <t>Q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</si>
  <si>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</t>
    </r>
  </si>
  <si>
    <r>
      <t>s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Q</t>
    </r>
    <r>
      <rPr>
        <sz val="10"/>
        <rFont val="Verdana"/>
      </rPr>
      <t xml:space="preserve"> = </t>
    </r>
  </si>
  <si>
    <r>
      <t>s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</si>
  <si>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Q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</si>
  <si>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</t>
    </r>
  </si>
  <si>
    <t xml:space="preserve">r = </t>
    <phoneticPr fontId="11" type="noConversion"/>
  </si>
  <si>
    <t>a)</t>
    <phoneticPr fontId="11" type="noConversion"/>
  </si>
  <si>
    <t>Would the scatterplot relating income and IQ have a positive or a negative slope?</t>
    <phoneticPr fontId="11" type="noConversion"/>
  </si>
  <si>
    <t>The scatterplot would have a postiive slope</t>
    <phoneticPr fontId="11" type="noConversion"/>
  </si>
  <si>
    <t>b)</t>
    <phoneticPr fontId="11" type="noConversion"/>
  </si>
  <si>
    <t>Consider all people whose IQ is known to be 120. What would you expect the mean income of these people to be?</t>
  </si>
  <si>
    <t xml:space="preserve">X = </t>
    <phoneticPr fontId="11" type="noConversion"/>
  </si>
  <si>
    <r>
      <t>Z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= </t>
    </r>
  </si>
  <si>
    <r>
      <t>Z</t>
    </r>
    <r>
      <rPr>
        <vertAlign val="subscript"/>
        <sz val="10"/>
        <rFont val="Verdana"/>
      </rPr>
      <t>Y</t>
    </r>
    <r>
      <rPr>
        <sz val="10"/>
        <rFont val="Verdana"/>
      </rPr>
      <t xml:space="preserve"> = </t>
    </r>
  </si>
  <si>
    <t xml:space="preserve">Y = </t>
    <phoneticPr fontId="11" type="noConversion"/>
  </si>
  <si>
    <t>c)</t>
    <phoneticPr fontId="11" type="noConversion"/>
  </si>
  <si>
    <t>Consider all people whose income known to be equal to your answer in Part (b). What would you expect the mean IQ of these people to be?</t>
    <phoneticPr fontId="11" type="noConversion"/>
  </si>
  <si>
    <t>Additional 2</t>
    <phoneticPr fontId="11" type="noConversion"/>
  </si>
  <si>
    <r>
      <t>m</t>
    </r>
    <r>
      <rPr>
        <vertAlign val="subscript"/>
        <sz val="10"/>
        <rFont val="Verdana"/>
      </rPr>
      <t>RT</t>
    </r>
    <r>
      <rPr>
        <sz val="10"/>
        <rFont val="Verdana"/>
      </rPr>
      <t xml:space="preserve"> = </t>
    </r>
  </si>
  <si>
    <r>
      <t>s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RT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</si>
  <si>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RT</t>
    </r>
    <r>
      <rPr>
        <sz val="10"/>
        <rFont val="Verdana"/>
      </rPr>
      <t xml:space="preserve"> = </t>
    </r>
  </si>
  <si>
    <t xml:space="preserve">r = </t>
    <phoneticPr fontId="11" type="noConversion"/>
  </si>
  <si>
    <t>Would the scatterplot relating reaction time and IQ have a positive or a negative slope?</t>
    <phoneticPr fontId="11" type="noConversion"/>
  </si>
  <si>
    <t>The scatterplot would have a negative slope</t>
    <phoneticPr fontId="11" type="noConversion"/>
  </si>
  <si>
    <t>Consider all people whose IQ is known to be 120. What would you expect the mean reaction time of these people to be?</t>
  </si>
  <si>
    <t>c)</t>
    <phoneticPr fontId="11" type="noConversion"/>
  </si>
  <si>
    <t>Consider all people whose reaction time is known to be equal to your answer in Part (b). What would you expect the mean IQ of these people to be?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</si>
</sst>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#,##0.0"/>
    <numFmt numFmtId="166" formatCode="#,##0.0000"/>
    <numFmt numFmtId="167" formatCode="#,##0.000000"/>
    <numFmt numFmtId="168" formatCode="&quot;$&quot;#,##0.00"/>
    <numFmt numFmtId="169" formatCode="0.0%"/>
    <numFmt numFmtId="170" formatCode="#,##0.00000"/>
    <numFmt numFmtId="171" formatCode="&quot;$&quot;#,##0"/>
  </numFmts>
  <fonts count="26" x14ac:knownFonts="1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Symbol"/>
    </font>
    <font>
      <sz val="11"/>
      <name val="Verdana"/>
    </font>
    <font>
      <b/>
      <sz val="11"/>
      <name val="Verdana"/>
    </font>
    <font>
      <sz val="10"/>
      <color indexed="9"/>
      <name val="Verdana"/>
    </font>
    <font>
      <sz val="11"/>
      <color indexed="9"/>
      <name val="Symbol"/>
    </font>
    <font>
      <vertAlign val="subscript"/>
      <sz val="10"/>
      <color indexed="9"/>
      <name val="Verdana"/>
    </font>
    <font>
      <vertAlign val="superscript"/>
      <sz val="10"/>
      <color indexed="9"/>
      <name val="Verdana"/>
    </font>
    <font>
      <sz val="10"/>
      <color indexed="9"/>
      <name val="Symbol"/>
    </font>
    <font>
      <sz val="10"/>
      <color indexed="9"/>
      <name val="Times"/>
    </font>
    <font>
      <u/>
      <sz val="10"/>
      <color indexed="9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vertAlign val="subscript"/>
      <sz val="10"/>
      <name val="Verdana"/>
    </font>
    <font>
      <vertAlign val="superscript"/>
      <sz val="10"/>
      <name val="Verdana"/>
    </font>
    <font>
      <u/>
      <sz val="10"/>
      <name val="Verdana"/>
    </font>
    <font>
      <vertAlign val="subscript"/>
      <sz val="10"/>
      <color indexed="9"/>
      <name val="Times"/>
    </font>
    <font>
      <sz val="10"/>
      <color indexed="10"/>
      <name val="Verdana"/>
    </font>
    <font>
      <sz val="10"/>
      <color indexed="17"/>
      <name val="Verdana"/>
    </font>
    <font>
      <b/>
      <sz val="10"/>
      <name val="Verdana"/>
    </font>
    <font>
      <sz val="11"/>
      <name val="Symbol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9"/>
      </bottom>
      <diagonal/>
    </border>
    <border>
      <left/>
      <right style="medium">
        <color auto="1"/>
      </right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0">
    <xf numFmtId="164" fontId="0" fillId="0" borderId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</cellStyleXfs>
  <cellXfs count="241">
    <xf numFmtId="164" fontId="0" fillId="0" borderId="0" xfId="0">
      <alignment vertical="center"/>
    </xf>
    <xf numFmtId="3" fontId="9" fillId="3" borderId="0" xfId="0" applyNumberFormat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4" fontId="9" fillId="3" borderId="0" xfId="0" applyNumberFormat="1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center" vertical="center"/>
    </xf>
    <xf numFmtId="164" fontId="9" fillId="4" borderId="1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5" fontId="9" fillId="3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horizontal="right" vertical="center"/>
    </xf>
    <xf numFmtId="3" fontId="9" fillId="6" borderId="0" xfId="0" applyNumberFormat="1" applyFont="1" applyFill="1" applyBorder="1" applyAlignment="1">
      <alignment horizontal="center" vertical="center"/>
    </xf>
    <xf numFmtId="3" fontId="9" fillId="6" borderId="0" xfId="0" applyNumberFormat="1" applyFont="1" applyFill="1" applyBorder="1" applyAlignment="1">
      <alignment vertical="center"/>
    </xf>
    <xf numFmtId="164" fontId="9" fillId="6" borderId="0" xfId="0" quotePrefix="1" applyNumberFormat="1" applyFont="1" applyFill="1" applyBorder="1" applyAlignment="1">
      <alignment vertical="center"/>
    </xf>
    <xf numFmtId="164" fontId="9" fillId="6" borderId="0" xfId="0" applyNumberFormat="1" applyFont="1" applyFill="1" applyBorder="1" applyAlignment="1">
      <alignment vertical="center"/>
    </xf>
    <xf numFmtId="4" fontId="9" fillId="6" borderId="0" xfId="0" applyNumberFormat="1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left" vertical="center"/>
    </xf>
    <xf numFmtId="3" fontId="9" fillId="6" borderId="0" xfId="0" applyNumberFormat="1" applyFont="1" applyFill="1" applyBorder="1" applyAlignment="1">
      <alignment horizontal="right" vertical="center"/>
    </xf>
    <xf numFmtId="3" fontId="9" fillId="6" borderId="0" xfId="0" applyNumberFormat="1" applyFont="1" applyFill="1" applyBorder="1" applyAlignment="1">
      <alignment horizontal="left" vertical="center"/>
    </xf>
    <xf numFmtId="165" fontId="9" fillId="6" borderId="0" xfId="0" applyNumberFormat="1" applyFont="1" applyFill="1" applyBorder="1" applyAlignment="1">
      <alignment horizontal="left" vertical="center"/>
    </xf>
    <xf numFmtId="9" fontId="9" fillId="6" borderId="0" xfId="3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164" fontId="9" fillId="6" borderId="1" xfId="0" applyNumberFormat="1" applyFont="1" applyFill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3" fontId="9" fillId="6" borderId="0" xfId="0" applyNumberFormat="1" applyFont="1" applyFill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9" fontId="1" fillId="0" borderId="0" xfId="3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164" fontId="8" fillId="0" borderId="0" xfId="0" quotePrefix="1" applyNumberFormat="1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center" vertical="center"/>
    </xf>
    <xf numFmtId="164" fontId="0" fillId="0" borderId="0" xfId="0" applyNumberFormat="1">
      <alignment vertical="center"/>
    </xf>
    <xf numFmtId="164" fontId="9" fillId="6" borderId="0" xfId="0" applyNumberFormat="1" applyFont="1" applyFill="1" applyAlignment="1">
      <alignment horizontal="right" vertical="center"/>
    </xf>
    <xf numFmtId="164" fontId="9" fillId="6" borderId="1" xfId="0" applyNumberFormat="1" applyFont="1" applyFill="1" applyBorder="1" applyAlignment="1">
      <alignment horizontal="center" vertical="center"/>
    </xf>
    <xf numFmtId="4" fontId="9" fillId="6" borderId="0" xfId="0" applyNumberFormat="1" applyFont="1" applyFill="1" applyBorder="1" applyAlignment="1">
      <alignment horizontal="center" vertical="center"/>
    </xf>
    <xf numFmtId="3" fontId="9" fillId="6" borderId="0" xfId="0" applyNumberFormat="1" applyFont="1" applyFill="1" applyAlignment="1">
      <alignment horizontal="right" vertical="center"/>
    </xf>
    <xf numFmtId="4" fontId="9" fillId="6" borderId="0" xfId="0" applyNumberFormat="1" applyFont="1" applyFill="1" applyBorder="1" applyAlignment="1">
      <alignment horizontal="right" vertical="center"/>
    </xf>
    <xf numFmtId="4" fontId="9" fillId="6" borderId="0" xfId="0" applyNumberFormat="1" applyFont="1" applyFill="1" applyAlignment="1">
      <alignment horizontal="right" vertical="center"/>
    </xf>
    <xf numFmtId="169" fontId="9" fillId="6" borderId="0" xfId="3" applyNumberFormat="1" applyFont="1" applyFill="1" applyAlignment="1">
      <alignment horizontal="right" vertical="center"/>
    </xf>
    <xf numFmtId="9" fontId="1" fillId="0" borderId="0" xfId="3" applyFont="1" applyBorder="1" applyAlignment="1">
      <alignment horizontal="right" vertical="center"/>
    </xf>
    <xf numFmtId="4" fontId="9" fillId="6" borderId="0" xfId="0" applyNumberFormat="1" applyFont="1" applyFill="1" applyAlignment="1">
      <alignment horizontal="center" vertical="center"/>
    </xf>
    <xf numFmtId="3" fontId="9" fillId="6" borderId="0" xfId="0" applyNumberFormat="1" applyFont="1" applyFill="1" applyAlignment="1">
      <alignment horizontal="left" vertical="center"/>
    </xf>
    <xf numFmtId="4" fontId="9" fillId="6" borderId="0" xfId="0" applyNumberFormat="1" applyFont="1" applyFill="1" applyAlignment="1">
      <alignment horizontal="left" vertical="center"/>
    </xf>
    <xf numFmtId="164" fontId="9" fillId="6" borderId="0" xfId="0" applyNumberFormat="1" applyFont="1" applyFill="1">
      <alignment vertical="center"/>
    </xf>
    <xf numFmtId="164" fontId="9" fillId="6" borderId="0" xfId="0" quotePrefix="1" applyNumberFormat="1" applyFont="1" applyFill="1" applyBorder="1" applyAlignment="1">
      <alignment horizontal="left" vertical="center"/>
    </xf>
    <xf numFmtId="164" fontId="9" fillId="6" borderId="0" xfId="0" quotePrefix="1" applyNumberFormat="1" applyFont="1" applyFill="1" applyBorder="1" applyAlignment="1">
      <alignment horizontal="center" vertical="center"/>
    </xf>
    <xf numFmtId="164" fontId="1" fillId="0" borderId="0" xfId="0" quotePrefix="1" applyNumberFormat="1" applyFont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right" vertical="center"/>
    </xf>
    <xf numFmtId="9" fontId="1" fillId="0" borderId="0" xfId="3" applyFont="1" applyBorder="1" applyAlignment="1">
      <alignment horizontal="left" vertical="center"/>
    </xf>
    <xf numFmtId="9" fontId="9" fillId="6" borderId="0" xfId="3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20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vertical="center"/>
    </xf>
    <xf numFmtId="3" fontId="9" fillId="3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vertical="center"/>
    </xf>
    <xf numFmtId="164" fontId="9" fillId="6" borderId="1" xfId="0" applyNumberFormat="1" applyFont="1" applyFill="1" applyBorder="1" applyAlignment="1">
      <alignment horizontal="center"/>
    </xf>
    <xf numFmtId="3" fontId="9" fillId="6" borderId="5" xfId="0" applyNumberFormat="1" applyFont="1" applyFill="1" applyBorder="1" applyAlignment="1">
      <alignment horizontal="right"/>
    </xf>
    <xf numFmtId="3" fontId="9" fillId="6" borderId="0" xfId="0" applyNumberFormat="1" applyFont="1" applyFill="1" applyBorder="1" applyAlignment="1">
      <alignment horizontal="center"/>
    </xf>
    <xf numFmtId="164" fontId="9" fillId="6" borderId="5" xfId="0" applyNumberFormat="1" applyFont="1" applyFill="1" applyBorder="1" applyAlignment="1">
      <alignment horizontal="right"/>
    </xf>
    <xf numFmtId="164" fontId="9" fillId="6" borderId="0" xfId="0" applyNumberFormat="1" applyFont="1" applyFill="1" applyBorder="1" applyAlignment="1">
      <alignment horizontal="right"/>
    </xf>
    <xf numFmtId="164" fontId="1" fillId="0" borderId="17" xfId="0" applyNumberFormat="1" applyFont="1" applyBorder="1" applyAlignment="1">
      <alignment vertical="center"/>
    </xf>
    <xf numFmtId="164" fontId="9" fillId="6" borderId="18" xfId="0" applyNumberFormat="1" applyFont="1" applyFill="1" applyBorder="1" applyAlignment="1">
      <alignment horizontal="right" vertical="center"/>
    </xf>
    <xf numFmtId="164" fontId="9" fillId="6" borderId="7" xfId="0" applyNumberFormat="1" applyFont="1" applyFill="1" applyBorder="1" applyAlignment="1">
      <alignment horizontal="center"/>
    </xf>
    <xf numFmtId="164" fontId="9" fillId="6" borderId="17" xfId="0" applyNumberFormat="1" applyFont="1" applyFill="1" applyBorder="1" applyAlignment="1">
      <alignment horizontal="right" vertical="center"/>
    </xf>
    <xf numFmtId="164" fontId="9" fillId="6" borderId="4" xfId="0" applyNumberFormat="1" applyFont="1" applyFill="1" applyBorder="1" applyAlignment="1">
      <alignment horizontal="center" vertical="center"/>
    </xf>
    <xf numFmtId="3" fontId="9" fillId="6" borderId="5" xfId="0" applyNumberFormat="1" applyFont="1" applyFill="1" applyBorder="1" applyAlignment="1">
      <alignment horizontal="center"/>
    </xf>
    <xf numFmtId="3" fontId="9" fillId="6" borderId="17" xfId="0" applyNumberFormat="1" applyFont="1" applyFill="1" applyBorder="1" applyAlignment="1">
      <alignment horizontal="right" vertical="center"/>
    </xf>
    <xf numFmtId="3" fontId="9" fillId="6" borderId="2" xfId="0" applyNumberFormat="1" applyFont="1" applyFill="1" applyBorder="1" applyAlignment="1">
      <alignment horizontal="right" vertical="center"/>
    </xf>
    <xf numFmtId="164" fontId="9" fillId="6" borderId="4" xfId="0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 horizontal="center"/>
    </xf>
    <xf numFmtId="3" fontId="9" fillId="6" borderId="4" xfId="0" applyNumberFormat="1" applyFont="1" applyFill="1" applyBorder="1" applyAlignment="1">
      <alignment horizontal="center"/>
    </xf>
    <xf numFmtId="164" fontId="9" fillId="6" borderId="7" xfId="0" applyNumberFormat="1" applyFont="1" applyFill="1" applyBorder="1" applyAlignment="1">
      <alignment horizontal="left" vertical="center"/>
    </xf>
    <xf numFmtId="164" fontId="9" fillId="6" borderId="7" xfId="0" applyNumberFormat="1" applyFont="1" applyFill="1" applyBorder="1" applyAlignment="1">
      <alignment vertical="center"/>
    </xf>
    <xf numFmtId="164" fontId="9" fillId="6" borderId="7" xfId="0" applyNumberFormat="1" applyFont="1" applyFill="1" applyBorder="1" applyAlignment="1">
      <alignment horizontal="right" vertical="center"/>
    </xf>
    <xf numFmtId="164" fontId="9" fillId="6" borderId="3" xfId="0" applyNumberFormat="1" applyFont="1" applyFill="1" applyBorder="1" applyAlignment="1">
      <alignment vertical="center"/>
    </xf>
    <xf numFmtId="164" fontId="9" fillId="6" borderId="2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 vertical="center"/>
    </xf>
    <xf numFmtId="169" fontId="9" fillId="6" borderId="5" xfId="3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2" xfId="0" applyNumberFormat="1" applyFont="1" applyFill="1" applyBorder="1" applyAlignment="1">
      <alignment horizontal="left" vertical="center"/>
    </xf>
    <xf numFmtId="3" fontId="9" fillId="6" borderId="1" xfId="0" applyNumberFormat="1" applyFont="1" applyFill="1" applyBorder="1" applyAlignment="1">
      <alignment horizontal="left" vertical="center"/>
    </xf>
    <xf numFmtId="164" fontId="9" fillId="6" borderId="1" xfId="0" applyNumberFormat="1" applyFont="1" applyFill="1" applyBorder="1">
      <alignment vertical="center"/>
    </xf>
    <xf numFmtId="164" fontId="9" fillId="6" borderId="4" xfId="0" applyNumberFormat="1" applyFont="1" applyFill="1" applyBorder="1">
      <alignment vertical="center"/>
    </xf>
    <xf numFmtId="3" fontId="9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4" fontId="8" fillId="0" borderId="0" xfId="0" applyFont="1" applyAlignment="1">
      <alignment horizontal="right" vertical="center"/>
    </xf>
    <xf numFmtId="164" fontId="0" fillId="0" borderId="0" xfId="0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164" fontId="1" fillId="0" borderId="0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164" fontId="0" fillId="0" borderId="0" xfId="0" applyAlignment="1">
      <alignment horizontal="center" vertical="center"/>
    </xf>
    <xf numFmtId="3" fontId="20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164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20" fillId="0" borderId="0" xfId="0" applyFont="1" applyAlignment="1">
      <alignment horizontal="left" vertical="center"/>
    </xf>
    <xf numFmtId="164" fontId="0" fillId="0" borderId="0" xfId="0" applyAlignment="1">
      <alignment horizontal="center"/>
    </xf>
    <xf numFmtId="164" fontId="20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>
      <alignment vertical="center"/>
    </xf>
    <xf numFmtId="164" fontId="22" fillId="0" borderId="0" xfId="0" applyFont="1">
      <alignment vertical="center"/>
    </xf>
    <xf numFmtId="164" fontId="22" fillId="0" borderId="0" xfId="0" applyFont="1" applyAlignment="1">
      <alignment horizontal="right" vertical="center"/>
    </xf>
    <xf numFmtId="164" fontId="22" fillId="0" borderId="0" xfId="0" applyFont="1" applyAlignment="1">
      <alignment horizontal="left" vertical="center"/>
    </xf>
    <xf numFmtId="164" fontId="23" fillId="0" borderId="0" xfId="0" applyFont="1" applyAlignment="1">
      <alignment horizontal="right" vertical="center"/>
    </xf>
    <xf numFmtId="164" fontId="23" fillId="0" borderId="0" xfId="0" applyFont="1" applyAlignment="1">
      <alignment horizontal="left" vertical="center"/>
    </xf>
    <xf numFmtId="164" fontId="8" fillId="0" borderId="0" xfId="0" applyFont="1" applyFill="1" applyBorder="1" applyAlignment="1">
      <alignment horizontal="right" vertical="center"/>
    </xf>
    <xf numFmtId="164" fontId="9" fillId="5" borderId="1" xfId="0" applyFont="1" applyFill="1" applyBorder="1" applyAlignment="1">
      <alignment horizontal="right" vertical="center"/>
    </xf>
    <xf numFmtId="164" fontId="9" fillId="4" borderId="6" xfId="0" applyFont="1" applyFill="1" applyBorder="1" applyAlignment="1">
      <alignment horizontal="right" vertical="center"/>
    </xf>
    <xf numFmtId="164" fontId="9" fillId="3" borderId="0" xfId="0" applyFont="1" applyFill="1" applyBorder="1" applyAlignment="1">
      <alignment vertical="center"/>
    </xf>
    <xf numFmtId="164" fontId="9" fillId="3" borderId="0" xfId="0" applyFont="1" applyFill="1" applyBorder="1" applyAlignment="1">
      <alignment horizontal="right" vertical="center"/>
    </xf>
    <xf numFmtId="164" fontId="9" fillId="3" borderId="0" xfId="0" quotePrefix="1" applyFont="1" applyFill="1" applyBorder="1" applyAlignment="1">
      <alignment horizontal="right" vertical="center"/>
    </xf>
    <xf numFmtId="164" fontId="9" fillId="5" borderId="0" xfId="0" applyFont="1" applyFill="1" applyBorder="1" applyAlignment="1">
      <alignment horizontal="right" vertical="center"/>
    </xf>
    <xf numFmtId="164" fontId="9" fillId="4" borderId="1" xfId="0" applyFont="1" applyFill="1" applyBorder="1" applyAlignment="1">
      <alignment horizontal="right" vertical="center"/>
    </xf>
    <xf numFmtId="164" fontId="9" fillId="4" borderId="0" xfId="0" applyFont="1" applyFill="1" applyBorder="1" applyAlignment="1">
      <alignment horizontal="right" vertical="center"/>
    </xf>
    <xf numFmtId="164" fontId="9" fillId="4" borderId="4" xfId="0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left" vertical="center"/>
    </xf>
    <xf numFmtId="170" fontId="9" fillId="6" borderId="0" xfId="0" applyNumberFormat="1" applyFont="1" applyFill="1" applyBorder="1" applyAlignment="1">
      <alignment horizontal="left" vertical="center"/>
    </xf>
    <xf numFmtId="164" fontId="15" fillId="6" borderId="0" xfId="0" applyNumberFormat="1" applyFont="1" applyFill="1" applyBorder="1" applyAlignment="1">
      <alignment horizontal="center" vertical="center"/>
    </xf>
    <xf numFmtId="168" fontId="9" fillId="6" borderId="0" xfId="0" applyNumberFormat="1" applyFont="1" applyFill="1" applyBorder="1" applyAlignment="1">
      <alignment horizontal="left" vertical="center"/>
    </xf>
    <xf numFmtId="170" fontId="9" fillId="6" borderId="0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164" fontId="9" fillId="6" borderId="19" xfId="0" applyNumberFormat="1" applyFont="1" applyFill="1" applyBorder="1" applyAlignment="1">
      <alignment horizontal="right" vertical="center"/>
    </xf>
    <xf numFmtId="164" fontId="9" fillId="6" borderId="8" xfId="0" applyNumberFormat="1" applyFont="1" applyFill="1" applyBorder="1" applyAlignment="1">
      <alignment horizontal="left" vertical="center"/>
    </xf>
    <xf numFmtId="164" fontId="9" fillId="6" borderId="8" xfId="0" applyNumberFormat="1" applyFont="1" applyFill="1" applyBorder="1" applyAlignment="1">
      <alignment vertical="center"/>
    </xf>
    <xf numFmtId="164" fontId="9" fillId="6" borderId="8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vertical="center"/>
    </xf>
    <xf numFmtId="164" fontId="9" fillId="6" borderId="20" xfId="0" applyNumberFormat="1" applyFont="1" applyFill="1" applyBorder="1" applyAlignment="1">
      <alignment horizontal="center" vertical="center"/>
    </xf>
    <xf numFmtId="164" fontId="9" fillId="6" borderId="21" xfId="0" applyNumberFormat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170" fontId="9" fillId="6" borderId="0" xfId="0" applyNumberFormat="1" applyFont="1" applyFill="1" applyBorder="1" applyAlignment="1">
      <alignment horizontal="right" vertical="center"/>
    </xf>
    <xf numFmtId="169" fontId="9" fillId="6" borderId="11" xfId="3" applyNumberFormat="1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left" vertical="center"/>
    </xf>
    <xf numFmtId="3" fontId="9" fillId="6" borderId="13" xfId="0" applyNumberFormat="1" applyFont="1" applyFill="1" applyBorder="1" applyAlignment="1">
      <alignment horizontal="left" vertical="center"/>
    </xf>
    <xf numFmtId="164" fontId="9" fillId="6" borderId="13" xfId="0" applyNumberFormat="1" applyFont="1" applyFill="1" applyBorder="1" applyAlignment="1">
      <alignment horizontal="left" vertical="center"/>
    </xf>
    <xf numFmtId="164" fontId="9" fillId="6" borderId="13" xfId="0" applyNumberFormat="1" applyFont="1" applyFill="1" applyBorder="1">
      <alignment vertical="center"/>
    </xf>
    <xf numFmtId="164" fontId="9" fillId="6" borderId="14" xfId="0" applyNumberFormat="1" applyFont="1" applyFill="1" applyBorder="1">
      <alignment vertical="center"/>
    </xf>
    <xf numFmtId="164" fontId="13" fillId="6" borderId="15" xfId="0" applyNumberFormat="1" applyFont="1" applyFill="1" applyBorder="1" applyAlignment="1">
      <alignment horizontal="right" vertical="center"/>
    </xf>
    <xf numFmtId="167" fontId="9" fillId="6" borderId="16" xfId="0" applyNumberFormat="1" applyFont="1" applyFill="1" applyBorder="1" applyAlignment="1">
      <alignment horizontal="center"/>
    </xf>
    <xf numFmtId="164" fontId="9" fillId="3" borderId="0" xfId="0" applyFont="1" applyFill="1" applyBorder="1" applyAlignment="1">
      <alignment horizontal="left" vertical="center"/>
    </xf>
    <xf numFmtId="164" fontId="1" fillId="3" borderId="0" xfId="0" applyFont="1" applyFill="1" applyBorder="1" applyAlignment="1">
      <alignment vertical="center"/>
    </xf>
    <xf numFmtId="164" fontId="1" fillId="5" borderId="0" xfId="0" applyFont="1" applyFill="1" applyBorder="1" applyAlignment="1">
      <alignment vertical="center"/>
    </xf>
    <xf numFmtId="165" fontId="9" fillId="5" borderId="1" xfId="0" applyNumberFormat="1" applyFont="1" applyFill="1" applyBorder="1" applyAlignment="1">
      <alignment horizontal="center" vertical="center"/>
    </xf>
    <xf numFmtId="164" fontId="9" fillId="3" borderId="0" xfId="0" quotePrefix="1" applyNumberFormat="1" applyFont="1" applyFill="1" applyBorder="1" applyAlignment="1">
      <alignment horizontal="right" vertical="center"/>
    </xf>
    <xf numFmtId="3" fontId="9" fillId="5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vertical="center"/>
    </xf>
    <xf numFmtId="164" fontId="9" fillId="6" borderId="22" xfId="0" applyNumberFormat="1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horizontal="right" vertical="center"/>
    </xf>
    <xf numFmtId="164" fontId="9" fillId="6" borderId="24" xfId="0" applyNumberFormat="1" applyFont="1" applyFill="1" applyBorder="1" applyAlignment="1">
      <alignment horizontal="left" vertical="center"/>
    </xf>
    <xf numFmtId="164" fontId="13" fillId="3" borderId="0" xfId="0" applyFont="1" applyFill="1" applyBorder="1" applyAlignment="1">
      <alignment horizontal="right" vertical="center"/>
    </xf>
    <xf numFmtId="164" fontId="9" fillId="5" borderId="0" xfId="0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164" fontId="9" fillId="5" borderId="22" xfId="0" applyFont="1" applyFill="1" applyBorder="1" applyAlignment="1">
      <alignment horizontal="right" vertical="center"/>
    </xf>
    <xf numFmtId="165" fontId="9" fillId="6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5" fontId="9" fillId="6" borderId="0" xfId="0" applyNumberFormat="1" applyFont="1" applyFill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9" fillId="6" borderId="0" xfId="0" applyNumberFormat="1" applyFont="1" applyFill="1" applyAlignment="1">
      <alignment horizontal="left" vertical="center"/>
    </xf>
    <xf numFmtId="164" fontId="24" fillId="0" borderId="0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left" vertical="center"/>
    </xf>
    <xf numFmtId="164" fontId="1" fillId="0" borderId="16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right" vertical="center"/>
    </xf>
    <xf numFmtId="168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24" fillId="0" borderId="0" xfId="0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164" fontId="1" fillId="0" borderId="16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164" fontId="9" fillId="6" borderId="7" xfId="0" applyNumberFormat="1" applyFont="1" applyFill="1" applyBorder="1" applyAlignment="1">
      <alignment horizontal="center"/>
    </xf>
    <xf numFmtId="164" fontId="9" fillId="6" borderId="3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</cellXfs>
  <cellStyles count="40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F16" sqref="F16"/>
    </sheetView>
  </sheetViews>
  <sheetFormatPr baseColWidth="10" defaultRowHeight="13" x14ac:dyDescent="0"/>
  <sheetData>
    <row r="1" spans="1:11" s="200" customFormat="1">
      <c r="A1" s="199" t="s">
        <v>236</v>
      </c>
      <c r="B1" s="232" t="s">
        <v>237</v>
      </c>
      <c r="C1" s="232"/>
      <c r="D1" s="233" t="s">
        <v>238</v>
      </c>
      <c r="E1" s="233"/>
      <c r="F1" s="195"/>
      <c r="G1" s="195"/>
      <c r="H1" s="195"/>
      <c r="I1" s="195"/>
      <c r="J1" s="195"/>
      <c r="K1" s="195"/>
    </row>
    <row r="2" spans="1:11" s="200" customFormat="1" ht="15">
      <c r="A2" s="201"/>
      <c r="B2" s="202" t="s">
        <v>239</v>
      </c>
      <c r="C2" s="15">
        <v>100</v>
      </c>
      <c r="D2" s="202" t="s">
        <v>240</v>
      </c>
      <c r="E2" s="203">
        <v>65</v>
      </c>
      <c r="F2" s="195"/>
      <c r="G2" s="195"/>
      <c r="H2" s="195"/>
      <c r="I2" s="195"/>
      <c r="J2" s="195"/>
      <c r="K2" s="195"/>
    </row>
    <row r="3" spans="1:11" s="200" customFormat="1" ht="15">
      <c r="A3" s="201"/>
      <c r="B3" s="202" t="s">
        <v>241</v>
      </c>
      <c r="C3" s="15">
        <v>225</v>
      </c>
      <c r="D3" s="202" t="s">
        <v>242</v>
      </c>
      <c r="E3" s="15">
        <v>75</v>
      </c>
      <c r="F3" s="195"/>
      <c r="G3" s="195"/>
      <c r="H3" s="195"/>
      <c r="I3" s="195"/>
      <c r="J3" s="195"/>
      <c r="K3" s="195"/>
    </row>
    <row r="4" spans="1:11" s="200" customFormat="1" ht="15">
      <c r="A4" s="201"/>
      <c r="B4" s="202" t="s">
        <v>243</v>
      </c>
      <c r="C4" s="15">
        <f>SQRT(C3)</f>
        <v>15</v>
      </c>
      <c r="D4" s="202" t="s">
        <v>244</v>
      </c>
      <c r="E4" s="204">
        <f>SQRT(E3)</f>
        <v>8.6602540378443873</v>
      </c>
      <c r="F4" s="195"/>
      <c r="G4" s="195"/>
      <c r="H4" s="195"/>
      <c r="I4" s="195"/>
      <c r="J4" s="195"/>
      <c r="K4" s="195"/>
    </row>
    <row r="5" spans="1:11" s="200" customFormat="1">
      <c r="C5" s="205" t="s">
        <v>245</v>
      </c>
      <c r="D5" s="206">
        <v>0.65</v>
      </c>
      <c r="F5" s="195"/>
      <c r="G5" s="195"/>
      <c r="H5" s="195"/>
      <c r="I5" s="195"/>
      <c r="J5" s="195"/>
      <c r="K5" s="195"/>
    </row>
    <row r="6" spans="1:11" s="200" customFormat="1">
      <c r="C6" s="205"/>
      <c r="D6" s="206"/>
      <c r="F6" s="195"/>
      <c r="G6" s="195"/>
      <c r="H6" s="195"/>
      <c r="I6" s="195"/>
      <c r="J6" s="195"/>
      <c r="K6" s="195"/>
    </row>
    <row r="7" spans="1:11" s="200" customFormat="1" ht="14" thickBot="1">
      <c r="A7" s="207" t="s">
        <v>246</v>
      </c>
      <c r="B7" s="195" t="s">
        <v>247</v>
      </c>
      <c r="C7" s="208"/>
      <c r="D7" s="208"/>
      <c r="E7" s="208"/>
      <c r="F7" s="194"/>
      <c r="G7" s="194"/>
      <c r="H7" s="194"/>
      <c r="I7" s="195"/>
      <c r="J7" s="195"/>
      <c r="K7" s="195"/>
    </row>
    <row r="8" spans="1:11" s="200" customFormat="1" ht="14" thickBot="1">
      <c r="A8" s="201"/>
      <c r="B8" s="209" t="s">
        <v>248</v>
      </c>
      <c r="C8" s="210"/>
      <c r="D8" s="211"/>
      <c r="E8" s="212"/>
      <c r="F8" s="195"/>
      <c r="G8" s="195"/>
      <c r="H8" s="195"/>
      <c r="I8" s="195"/>
      <c r="J8" s="195"/>
      <c r="K8" s="195"/>
    </row>
    <row r="9" spans="1:11" s="200" customFormat="1">
      <c r="A9" s="201"/>
      <c r="B9" s="206"/>
      <c r="C9" s="212"/>
      <c r="D9" s="205"/>
      <c r="E9" s="212"/>
      <c r="F9" s="195"/>
      <c r="G9" s="195"/>
      <c r="H9" s="195"/>
      <c r="I9" s="195"/>
      <c r="J9" s="195"/>
      <c r="K9" s="195"/>
    </row>
    <row r="10" spans="1:11" s="200" customFormat="1">
      <c r="A10" s="207" t="s">
        <v>249</v>
      </c>
      <c r="B10" s="213" t="s">
        <v>250</v>
      </c>
      <c r="C10" s="214"/>
      <c r="D10" s="215"/>
      <c r="E10" s="195"/>
      <c r="F10" s="15"/>
      <c r="G10" s="195"/>
      <c r="H10" s="15"/>
      <c r="I10" s="195"/>
      <c r="J10" s="195"/>
      <c r="K10" s="195"/>
    </row>
    <row r="11" spans="1:11" s="200" customFormat="1">
      <c r="A11" s="201"/>
      <c r="B11" s="205" t="s">
        <v>251</v>
      </c>
      <c r="C11" s="15">
        <v>120</v>
      </c>
      <c r="D11" s="205"/>
      <c r="E11" s="212"/>
      <c r="F11" s="195"/>
      <c r="G11" s="195"/>
      <c r="H11" s="195"/>
      <c r="I11" s="195"/>
      <c r="J11" s="195"/>
      <c r="K11" s="195"/>
    </row>
    <row r="12" spans="1:11" s="200" customFormat="1" ht="15">
      <c r="A12" s="201"/>
      <c r="B12" s="205" t="s">
        <v>252</v>
      </c>
      <c r="C12" s="212">
        <f>(C11-C2)/C4</f>
        <v>1.3333333333333333</v>
      </c>
      <c r="D12" s="205"/>
      <c r="E12" s="212"/>
      <c r="F12" s="216"/>
      <c r="G12" s="216"/>
      <c r="H12" s="216"/>
      <c r="I12" s="194"/>
      <c r="J12" s="15"/>
      <c r="K12" s="195"/>
    </row>
    <row r="13" spans="1:11" s="200" customFormat="1" ht="16" thickBot="1">
      <c r="A13" s="201"/>
      <c r="B13" s="205" t="s">
        <v>253</v>
      </c>
      <c r="C13" s="212">
        <f>D5*C12</f>
        <v>0.8666666666666667</v>
      </c>
      <c r="D13" s="194"/>
      <c r="E13" s="194"/>
      <c r="F13" s="194"/>
      <c r="G13" s="194"/>
      <c r="H13" s="194"/>
      <c r="I13" s="194"/>
      <c r="J13" s="16"/>
      <c r="K13" s="208"/>
    </row>
    <row r="14" spans="1:11" s="200" customFormat="1" ht="14" thickBot="1">
      <c r="A14" s="201"/>
      <c r="B14" s="217" t="s">
        <v>254</v>
      </c>
      <c r="C14" s="218">
        <f>E2+C13*E4</f>
        <v>72.505553499465137</v>
      </c>
      <c r="D14" s="194"/>
      <c r="E14" s="194"/>
      <c r="F14" s="194"/>
      <c r="G14" s="194"/>
      <c r="H14" s="194"/>
      <c r="I14" s="194"/>
      <c r="J14" s="16"/>
      <c r="K14" s="208"/>
    </row>
    <row r="15" spans="1:11" s="200" customFormat="1">
      <c r="A15" s="201"/>
      <c r="B15" s="16"/>
      <c r="C15" s="219"/>
      <c r="D15" s="194"/>
      <c r="E15" s="194"/>
      <c r="F15" s="194"/>
      <c r="G15" s="194"/>
      <c r="H15" s="194"/>
      <c r="I15" s="194"/>
      <c r="J15" s="16"/>
      <c r="K15" s="208"/>
    </row>
    <row r="16" spans="1:11" s="200" customFormat="1">
      <c r="A16" s="207" t="s">
        <v>255</v>
      </c>
      <c r="B16" s="195" t="s">
        <v>256</v>
      </c>
      <c r="C16" s="194"/>
      <c r="D16" s="220"/>
      <c r="E16" s="195"/>
      <c r="F16" s="221"/>
      <c r="G16" s="221"/>
      <c r="H16" s="222"/>
      <c r="I16" s="195"/>
      <c r="J16" s="195"/>
      <c r="K16" s="195"/>
    </row>
    <row r="17" spans="1:11" s="200" customFormat="1" ht="15">
      <c r="A17" s="199"/>
      <c r="B17" s="205" t="s">
        <v>253</v>
      </c>
      <c r="C17" s="212">
        <f>(C14-E2)/E4</f>
        <v>0.86666666666666681</v>
      </c>
      <c r="D17" s="223"/>
      <c r="E17" s="199"/>
      <c r="F17" s="207"/>
      <c r="G17" s="223"/>
      <c r="H17" s="199"/>
      <c r="I17" s="199"/>
      <c r="J17" s="199"/>
      <c r="K17" s="199"/>
    </row>
    <row r="18" spans="1:11" s="200" customFormat="1" ht="16" thickBot="1">
      <c r="A18" s="199"/>
      <c r="B18" s="205" t="s">
        <v>252</v>
      </c>
      <c r="C18" s="212">
        <f>C17*D5</f>
        <v>0.56333333333333346</v>
      </c>
      <c r="D18" s="194"/>
      <c r="E18" s="15"/>
      <c r="F18" s="194"/>
      <c r="G18" s="15"/>
      <c r="H18" s="194"/>
      <c r="I18" s="195"/>
      <c r="J18" s="195"/>
      <c r="K18" s="195"/>
    </row>
    <row r="19" spans="1:11" s="200" customFormat="1" ht="14" thickBot="1">
      <c r="A19" s="199"/>
      <c r="B19" s="217" t="s">
        <v>251</v>
      </c>
      <c r="C19" s="224">
        <f>C2+C18*C4</f>
        <v>108.45</v>
      </c>
      <c r="D19" s="194"/>
      <c r="E19" s="15"/>
      <c r="F19" s="194"/>
      <c r="G19" s="15"/>
      <c r="H19" s="194"/>
      <c r="I19" s="195"/>
      <c r="J19" s="195"/>
      <c r="K19" s="195"/>
    </row>
    <row r="20" spans="1:11" s="200" customFormat="1">
      <c r="A20" s="199"/>
      <c r="B20" s="16"/>
      <c r="C20" s="219"/>
      <c r="D20" s="194"/>
      <c r="E20" s="15"/>
      <c r="F20" s="194"/>
      <c r="G20" s="15"/>
      <c r="H20" s="194"/>
      <c r="I20" s="195"/>
      <c r="J20" s="195"/>
      <c r="K20" s="195"/>
    </row>
    <row r="21" spans="1:11" s="200" customFormat="1" ht="14">
      <c r="A21" s="201"/>
      <c r="B21" s="225"/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 s="200" customFormat="1">
      <c r="A22" s="199" t="s">
        <v>257</v>
      </c>
      <c r="B22" s="232" t="s">
        <v>237</v>
      </c>
      <c r="C22" s="232"/>
      <c r="D22" s="233" t="s">
        <v>238</v>
      </c>
      <c r="E22" s="233"/>
      <c r="F22" s="195"/>
      <c r="G22" s="195"/>
      <c r="H22" s="195"/>
      <c r="I22" s="195"/>
      <c r="J22" s="195"/>
      <c r="K22" s="195"/>
    </row>
    <row r="23" spans="1:11" s="200" customFormat="1" ht="15">
      <c r="A23" s="201"/>
      <c r="B23" s="202" t="s">
        <v>239</v>
      </c>
      <c r="C23" s="15">
        <v>100</v>
      </c>
      <c r="D23" s="202" t="s">
        <v>258</v>
      </c>
      <c r="E23" s="226">
        <v>250</v>
      </c>
      <c r="F23" s="195"/>
      <c r="G23" s="195"/>
      <c r="H23" s="195"/>
      <c r="I23" s="195"/>
      <c r="J23" s="195"/>
      <c r="K23" s="195"/>
    </row>
    <row r="24" spans="1:11" s="200" customFormat="1" ht="15">
      <c r="A24" s="201"/>
      <c r="B24" s="202" t="s">
        <v>241</v>
      </c>
      <c r="C24" s="15">
        <v>225</v>
      </c>
      <c r="D24" s="202" t="s">
        <v>259</v>
      </c>
      <c r="E24" s="226">
        <v>12</v>
      </c>
      <c r="F24" s="195"/>
      <c r="G24" s="195"/>
      <c r="H24" s="195"/>
      <c r="I24" s="195"/>
      <c r="J24" s="195"/>
      <c r="K24" s="195"/>
    </row>
    <row r="25" spans="1:11" s="200" customFormat="1" ht="15">
      <c r="A25" s="201"/>
      <c r="B25" s="202" t="s">
        <v>243</v>
      </c>
      <c r="C25" s="15">
        <f>SQRT(C24)</f>
        <v>15</v>
      </c>
      <c r="D25" s="202" t="s">
        <v>260</v>
      </c>
      <c r="E25" s="227">
        <f>SQRT(E24)</f>
        <v>3.4641016151377544</v>
      </c>
      <c r="F25" s="195"/>
      <c r="G25" s="195"/>
      <c r="H25" s="195"/>
      <c r="I25" s="195"/>
      <c r="J25" s="195"/>
      <c r="K25" s="195"/>
    </row>
    <row r="26" spans="1:11" s="200" customFormat="1">
      <c r="C26" s="205" t="s">
        <v>261</v>
      </c>
      <c r="D26" s="206">
        <v>-0.85</v>
      </c>
      <c r="F26" s="195"/>
      <c r="G26" s="195"/>
      <c r="H26" s="195"/>
      <c r="I26" s="195"/>
      <c r="J26" s="195"/>
      <c r="K26" s="195"/>
    </row>
    <row r="27" spans="1:11" s="200" customFormat="1">
      <c r="C27" s="205"/>
      <c r="D27" s="206"/>
      <c r="F27" s="195"/>
      <c r="G27" s="195"/>
      <c r="H27" s="195"/>
      <c r="I27" s="195"/>
      <c r="J27" s="195"/>
      <c r="K27" s="195"/>
    </row>
    <row r="28" spans="1:11" s="200" customFormat="1" ht="14" thickBot="1">
      <c r="A28" s="207" t="s">
        <v>246</v>
      </c>
      <c r="B28" s="195" t="s">
        <v>262</v>
      </c>
      <c r="C28" s="208"/>
      <c r="D28" s="208"/>
      <c r="E28" s="208"/>
      <c r="F28" s="194"/>
      <c r="G28" s="194"/>
      <c r="H28" s="194"/>
      <c r="I28" s="195"/>
      <c r="J28" s="195"/>
      <c r="K28" s="195"/>
    </row>
    <row r="29" spans="1:11" s="200" customFormat="1" ht="14" thickBot="1">
      <c r="A29" s="201"/>
      <c r="B29" s="209" t="s">
        <v>263</v>
      </c>
      <c r="C29" s="210"/>
      <c r="D29" s="211"/>
      <c r="E29" s="212"/>
      <c r="F29" s="195"/>
      <c r="G29" s="195"/>
      <c r="H29" s="195"/>
      <c r="I29" s="195"/>
      <c r="J29" s="195"/>
      <c r="K29" s="195"/>
    </row>
    <row r="30" spans="1:11" s="200" customFormat="1">
      <c r="A30" s="201"/>
      <c r="B30" s="206"/>
      <c r="C30" s="212"/>
      <c r="D30" s="205"/>
      <c r="E30" s="212"/>
      <c r="F30" s="195"/>
      <c r="G30" s="195"/>
      <c r="H30" s="195"/>
      <c r="I30" s="195"/>
      <c r="J30" s="195"/>
      <c r="K30" s="195"/>
    </row>
    <row r="31" spans="1:11" s="200" customFormat="1">
      <c r="A31" s="207" t="s">
        <v>249</v>
      </c>
      <c r="B31" s="213" t="s">
        <v>264</v>
      </c>
      <c r="C31" s="214"/>
      <c r="D31" s="215"/>
      <c r="E31" s="195"/>
      <c r="F31" s="15"/>
      <c r="G31" s="195"/>
      <c r="H31" s="15"/>
      <c r="I31" s="195"/>
      <c r="J31" s="195"/>
      <c r="K31" s="195"/>
    </row>
    <row r="32" spans="1:11" s="200" customFormat="1">
      <c r="A32" s="201"/>
      <c r="B32" s="205" t="s">
        <v>251</v>
      </c>
      <c r="C32" s="15">
        <v>120</v>
      </c>
      <c r="D32" s="205"/>
      <c r="E32" s="212"/>
      <c r="F32" s="195"/>
      <c r="G32" s="195"/>
      <c r="H32" s="195"/>
      <c r="I32" s="195"/>
      <c r="J32" s="195"/>
      <c r="K32" s="195"/>
    </row>
    <row r="33" spans="1:11" s="200" customFormat="1" ht="15">
      <c r="A33" s="201"/>
      <c r="B33" s="205" t="s">
        <v>252</v>
      </c>
      <c r="C33" s="212">
        <f>(C32-C23)/C25</f>
        <v>1.3333333333333333</v>
      </c>
      <c r="D33" s="205"/>
      <c r="E33" s="212"/>
      <c r="F33" s="216"/>
      <c r="G33" s="216"/>
      <c r="H33" s="216"/>
      <c r="I33" s="194"/>
      <c r="J33" s="15"/>
      <c r="K33" s="195"/>
    </row>
    <row r="34" spans="1:11" s="200" customFormat="1" ht="16" thickBot="1">
      <c r="A34" s="201"/>
      <c r="B34" s="205" t="s">
        <v>253</v>
      </c>
      <c r="C34" s="212">
        <f>D26*C33</f>
        <v>-1.1333333333333333</v>
      </c>
      <c r="D34" s="194"/>
      <c r="E34" s="194"/>
      <c r="F34" s="194"/>
      <c r="G34" s="194"/>
      <c r="H34" s="194"/>
      <c r="I34" s="194"/>
      <c r="J34" s="16"/>
      <c r="K34" s="208"/>
    </row>
    <row r="35" spans="1:11" s="200" customFormat="1" ht="14" thickBot="1">
      <c r="A35" s="201"/>
      <c r="B35" s="217" t="s">
        <v>254</v>
      </c>
      <c r="C35" s="228">
        <f>E23+C34*E25</f>
        <v>246.07401816951054</v>
      </c>
      <c r="D35" s="194"/>
      <c r="E35" s="194"/>
      <c r="F35" s="194"/>
      <c r="G35" s="194"/>
      <c r="H35" s="194"/>
      <c r="I35" s="194"/>
      <c r="J35" s="16"/>
      <c r="K35" s="208"/>
    </row>
    <row r="36" spans="1:11" s="200" customFormat="1">
      <c r="A36" s="201"/>
      <c r="B36" s="16"/>
      <c r="C36" s="219"/>
      <c r="D36" s="194"/>
      <c r="E36" s="194"/>
      <c r="F36" s="194"/>
      <c r="G36" s="194"/>
      <c r="H36" s="194"/>
      <c r="I36" s="194"/>
      <c r="J36" s="16"/>
      <c r="K36" s="208"/>
    </row>
    <row r="37" spans="1:11" s="200" customFormat="1">
      <c r="A37" s="207" t="s">
        <v>265</v>
      </c>
      <c r="B37" s="195" t="s">
        <v>266</v>
      </c>
      <c r="C37" s="194"/>
      <c r="D37" s="220"/>
      <c r="E37" s="195"/>
      <c r="F37" s="221"/>
      <c r="G37" s="221"/>
      <c r="H37" s="222"/>
      <c r="I37" s="195"/>
      <c r="J37" s="195"/>
      <c r="K37" s="195"/>
    </row>
    <row r="38" spans="1:11" s="200" customFormat="1" ht="15">
      <c r="A38" s="199"/>
      <c r="B38" s="205" t="s">
        <v>253</v>
      </c>
      <c r="C38" s="212">
        <f>(C35-E23)/E25</f>
        <v>-1.1333333333333355</v>
      </c>
      <c r="D38" s="223"/>
      <c r="E38" s="199"/>
      <c r="F38" s="207"/>
      <c r="G38" s="223"/>
      <c r="H38" s="199"/>
      <c r="I38" s="199"/>
      <c r="J38" s="199"/>
      <c r="K38" s="199"/>
    </row>
    <row r="39" spans="1:11" s="200" customFormat="1" ht="16" thickBot="1">
      <c r="A39" s="199"/>
      <c r="B39" s="205" t="s">
        <v>252</v>
      </c>
      <c r="C39" s="212">
        <f>C38*D26</f>
        <v>0.96333333333333515</v>
      </c>
      <c r="D39" s="194"/>
      <c r="E39" s="15"/>
      <c r="F39" s="194"/>
      <c r="G39" s="15"/>
      <c r="H39" s="194"/>
      <c r="I39" s="195"/>
      <c r="J39" s="195"/>
      <c r="K39" s="195"/>
    </row>
    <row r="40" spans="1:11" s="200" customFormat="1" ht="14" thickBot="1">
      <c r="A40" s="199"/>
      <c r="B40" s="217" t="s">
        <v>251</v>
      </c>
      <c r="C40" s="224">
        <f>C23+C39*C25</f>
        <v>114.45000000000003</v>
      </c>
      <c r="D40" s="194"/>
      <c r="E40" s="15"/>
      <c r="F40" s="194"/>
      <c r="G40" s="15"/>
      <c r="H40" s="194"/>
      <c r="I40" s="195"/>
      <c r="J40" s="195"/>
      <c r="K40" s="195"/>
    </row>
    <row r="41" spans="1:11" s="195" customFormat="1">
      <c r="A41" s="201"/>
      <c r="B41" s="220"/>
      <c r="C41" s="229"/>
      <c r="D41" s="230"/>
      <c r="E41" s="215"/>
      <c r="F41" s="215"/>
      <c r="G41" s="215"/>
      <c r="H41" s="215"/>
      <c r="I41" s="215"/>
      <c r="J41" s="214"/>
    </row>
    <row r="42" spans="1:11" s="195" customFormat="1">
      <c r="A42" s="201"/>
      <c r="C42" s="231"/>
      <c r="D42" s="229"/>
      <c r="E42" s="214"/>
      <c r="F42" s="214"/>
      <c r="G42" s="214"/>
      <c r="H42" s="214"/>
    </row>
  </sheetData>
  <mergeCells count="4">
    <mergeCell ref="B1:C1"/>
    <mergeCell ref="D1:E1"/>
    <mergeCell ref="B22:C22"/>
    <mergeCell ref="D22:E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topLeftCell="A241" workbookViewId="0">
      <selection activeCell="M127" sqref="M127"/>
    </sheetView>
  </sheetViews>
  <sheetFormatPr baseColWidth="10" defaultColWidth="12.42578125" defaultRowHeight="14" x14ac:dyDescent="0"/>
  <cols>
    <col min="1" max="1" width="12.42578125" style="143"/>
    <col min="2" max="2" width="23.85546875" style="124" customWidth="1"/>
    <col min="3" max="24" width="9.42578125" style="124" customWidth="1"/>
    <col min="25" max="16384" width="12.42578125" style="124"/>
  </cols>
  <sheetData>
    <row r="1" spans="1:9" s="21" customFormat="1">
      <c r="A1" s="19" t="s">
        <v>180</v>
      </c>
      <c r="B1" s="20" t="s">
        <v>181</v>
      </c>
      <c r="C1" s="20"/>
      <c r="D1" s="20"/>
      <c r="E1" s="20"/>
      <c r="F1" s="20"/>
    </row>
    <row r="2" spans="1:9" s="21" customFormat="1">
      <c r="A2" s="19"/>
      <c r="B2" s="2" t="s">
        <v>182</v>
      </c>
      <c r="C2" s="1">
        <v>18</v>
      </c>
      <c r="D2" s="20"/>
      <c r="E2" s="2"/>
      <c r="F2" s="2"/>
    </row>
    <row r="3" spans="1:9" s="21" customFormat="1">
      <c r="A3" s="19"/>
      <c r="B3" s="2" t="s">
        <v>183</v>
      </c>
      <c r="C3" s="1">
        <v>4</v>
      </c>
      <c r="D3" s="20"/>
      <c r="E3" s="20"/>
      <c r="F3" s="20"/>
    </row>
    <row r="4" spans="1:9" s="21" customFormat="1">
      <c r="A4" s="19"/>
      <c r="B4" s="2" t="s">
        <v>184</v>
      </c>
      <c r="C4" s="22">
        <v>1761.2</v>
      </c>
      <c r="D4" s="20"/>
      <c r="E4" s="183"/>
      <c r="F4" s="20"/>
    </row>
    <row r="5" spans="1:9" s="21" customFormat="1">
      <c r="A5" s="19"/>
      <c r="B5" s="4" t="s">
        <v>33</v>
      </c>
      <c r="C5" s="5">
        <v>9</v>
      </c>
      <c r="D5" s="4"/>
      <c r="E5" s="10"/>
      <c r="F5" s="11"/>
    </row>
    <row r="6" spans="1:9" s="21" customFormat="1">
      <c r="A6" s="19"/>
      <c r="B6" s="4" t="s">
        <v>9</v>
      </c>
      <c r="C6" s="5">
        <v>5</v>
      </c>
      <c r="D6" s="4"/>
      <c r="E6" s="10"/>
      <c r="F6" s="11"/>
    </row>
    <row r="7" spans="1:9" s="21" customFormat="1">
      <c r="A7" s="19"/>
      <c r="B7" s="4" t="s">
        <v>10</v>
      </c>
      <c r="C7" s="7">
        <v>-3</v>
      </c>
      <c r="D7" s="7">
        <v>-2</v>
      </c>
      <c r="E7" s="7">
        <v>2</v>
      </c>
      <c r="F7" s="7">
        <v>3</v>
      </c>
    </row>
    <row r="8" spans="1:9" s="21" customFormat="1">
      <c r="A8" s="19"/>
      <c r="B8" s="4" t="s">
        <v>34</v>
      </c>
      <c r="C8" s="7">
        <v>6</v>
      </c>
      <c r="D8" s="7">
        <v>7</v>
      </c>
      <c r="E8" s="7">
        <v>11</v>
      </c>
      <c r="F8" s="7">
        <v>12</v>
      </c>
    </row>
    <row r="9" spans="1:9" s="21" customFormat="1">
      <c r="A9" s="19"/>
      <c r="B9" s="144" t="s">
        <v>185</v>
      </c>
      <c r="C9" s="184">
        <v>1</v>
      </c>
      <c r="D9" s="184">
        <v>2</v>
      </c>
      <c r="E9" s="184">
        <v>3</v>
      </c>
      <c r="F9" s="184">
        <v>4</v>
      </c>
    </row>
    <row r="10" spans="1:9" s="21" customFormat="1" ht="15">
      <c r="A10" s="19"/>
      <c r="B10" s="145" t="s">
        <v>35</v>
      </c>
      <c r="C10" s="14">
        <v>6.7</v>
      </c>
      <c r="D10" s="14">
        <v>7.7</v>
      </c>
      <c r="E10" s="14">
        <v>11.4</v>
      </c>
      <c r="F10" s="14">
        <v>10.199999999999999</v>
      </c>
    </row>
    <row r="11" spans="1:9" s="21" customFormat="1">
      <c r="A11" s="19"/>
      <c r="B11" s="23" t="s">
        <v>186</v>
      </c>
      <c r="C11" s="24"/>
      <c r="D11" s="24"/>
      <c r="E11" s="24"/>
      <c r="F11" s="24"/>
      <c r="I11" s="25"/>
    </row>
    <row r="12" spans="1:9" s="21" customFormat="1">
      <c r="A12" s="19" t="s">
        <v>187</v>
      </c>
      <c r="B12" s="23" t="s">
        <v>188</v>
      </c>
      <c r="C12" s="24"/>
      <c r="D12" s="24"/>
      <c r="E12" s="24"/>
      <c r="F12" s="24"/>
      <c r="I12" s="25"/>
    </row>
    <row r="13" spans="1:9" s="21" customFormat="1">
      <c r="A13" s="19" t="s">
        <v>189</v>
      </c>
      <c r="B13" s="23" t="s">
        <v>190</v>
      </c>
      <c r="C13" s="24"/>
      <c r="D13" s="24"/>
      <c r="E13" s="24"/>
      <c r="F13" s="24"/>
      <c r="I13" s="26"/>
    </row>
    <row r="14" spans="1:9" s="21" customFormat="1">
      <c r="A14" s="19" t="s">
        <v>191</v>
      </c>
      <c r="B14" s="23" t="s">
        <v>192</v>
      </c>
      <c r="C14" s="24"/>
      <c r="D14" s="24"/>
      <c r="G14" s="239" t="s">
        <v>193</v>
      </c>
      <c r="H14" s="234">
        <v>0.05</v>
      </c>
      <c r="I14" s="26"/>
    </row>
    <row r="15" spans="1:9" s="21" customFormat="1">
      <c r="A15" s="19" t="s">
        <v>194</v>
      </c>
      <c r="B15" s="23" t="s">
        <v>195</v>
      </c>
      <c r="C15" s="24"/>
      <c r="D15" s="24"/>
      <c r="G15" s="240"/>
      <c r="H15" s="234"/>
      <c r="I15" s="26"/>
    </row>
    <row r="16" spans="1:9" s="21" customFormat="1">
      <c r="A16" s="19"/>
      <c r="B16" s="23"/>
      <c r="C16" s="24"/>
      <c r="D16" s="24"/>
      <c r="E16" s="24"/>
      <c r="F16" s="24"/>
      <c r="I16" s="26"/>
    </row>
    <row r="17" spans="1:11" s="21" customFormat="1">
      <c r="A17" s="19"/>
      <c r="B17" s="27"/>
      <c r="C17" s="24"/>
      <c r="D17" s="24"/>
      <c r="E17" s="24"/>
      <c r="F17" s="24"/>
      <c r="I17" s="26"/>
    </row>
    <row r="18" spans="1:11" s="21" customFormat="1" ht="15">
      <c r="A18" s="19"/>
      <c r="B18" s="28" t="s">
        <v>14</v>
      </c>
      <c r="C18" s="29">
        <f>C10*$C2</f>
        <v>120.60000000000001</v>
      </c>
      <c r="D18" s="29">
        <f>D10*$C2</f>
        <v>138.6</v>
      </c>
      <c r="E18" s="29">
        <f>E10*$C2</f>
        <v>205.20000000000002</v>
      </c>
      <c r="F18" s="29">
        <f>F10*$C2</f>
        <v>183.6</v>
      </c>
      <c r="G18" s="30">
        <f>SUM(C18:F18)</f>
        <v>648</v>
      </c>
      <c r="H18" s="31" t="s">
        <v>196</v>
      </c>
    </row>
    <row r="19" spans="1:11" s="21" customFormat="1">
      <c r="A19" s="19"/>
      <c r="B19" s="32"/>
      <c r="C19" s="32"/>
      <c r="D19" s="32"/>
      <c r="E19" s="32"/>
      <c r="F19" s="32"/>
      <c r="G19" s="30">
        <f>C2*C3</f>
        <v>72</v>
      </c>
      <c r="H19" s="31" t="s">
        <v>197</v>
      </c>
    </row>
    <row r="20" spans="1:11" s="21" customFormat="1">
      <c r="A20" s="19" t="s">
        <v>187</v>
      </c>
      <c r="B20" s="28" t="s">
        <v>198</v>
      </c>
      <c r="C20" s="33">
        <f>C4</f>
        <v>1761.2</v>
      </c>
      <c r="D20" s="34"/>
      <c r="E20" s="34"/>
      <c r="F20" s="28"/>
      <c r="G20" s="35"/>
      <c r="H20" s="32"/>
      <c r="I20" s="25"/>
      <c r="J20" s="25"/>
      <c r="K20" s="23"/>
    </row>
    <row r="21" spans="1:11" s="21" customFormat="1">
      <c r="A21" s="19"/>
      <c r="B21" s="36" t="s">
        <v>199</v>
      </c>
      <c r="C21" s="37">
        <f>(C2-1)*C3</f>
        <v>68</v>
      </c>
      <c r="D21" s="32"/>
      <c r="E21" s="28"/>
      <c r="F21" s="36"/>
      <c r="G21" s="35"/>
      <c r="H21" s="32"/>
      <c r="I21" s="25"/>
      <c r="J21" s="16"/>
      <c r="K21" s="23"/>
    </row>
    <row r="22" spans="1:11" s="21" customFormat="1">
      <c r="A22" s="19"/>
      <c r="B22" s="28" t="s">
        <v>200</v>
      </c>
      <c r="C22" s="38">
        <f>C20/C21</f>
        <v>25.900000000000002</v>
      </c>
      <c r="D22" s="32"/>
      <c r="E22" s="28"/>
      <c r="F22" s="28"/>
      <c r="G22" s="35"/>
      <c r="H22" s="32"/>
      <c r="I22" s="25"/>
      <c r="J22" s="25"/>
      <c r="K22" s="23"/>
    </row>
    <row r="23" spans="1:11" s="21" customFormat="1" ht="15">
      <c r="A23" s="19"/>
      <c r="B23" s="28" t="s">
        <v>20</v>
      </c>
      <c r="C23" s="35">
        <f>SQRT(C22/C2)</f>
        <v>1.1995369476964388</v>
      </c>
      <c r="D23" s="32"/>
      <c r="E23" s="28"/>
      <c r="F23" s="28"/>
      <c r="G23" s="35"/>
      <c r="H23" s="32"/>
      <c r="I23" s="25"/>
      <c r="J23" s="25"/>
      <c r="K23" s="23"/>
    </row>
    <row r="24" spans="1:11" s="21" customFormat="1">
      <c r="A24" s="19"/>
      <c r="B24" s="28" t="s">
        <v>201</v>
      </c>
      <c r="C24" s="39">
        <v>0.95</v>
      </c>
      <c r="D24" s="32"/>
      <c r="E24" s="28"/>
      <c r="F24" s="32"/>
      <c r="G24" s="32"/>
      <c r="H24" s="32"/>
      <c r="I24" s="25"/>
    </row>
    <row r="25" spans="1:11" s="21" customFormat="1">
      <c r="A25" s="19"/>
      <c r="B25" s="36" t="s">
        <v>202</v>
      </c>
      <c r="C25" s="35">
        <f>TINV(1-C24,C21)</f>
        <v>1.9954689314298424</v>
      </c>
      <c r="D25" s="32"/>
      <c r="E25" s="28"/>
      <c r="F25" s="36"/>
      <c r="G25" s="33"/>
      <c r="H25" s="32"/>
      <c r="I25" s="25"/>
      <c r="J25" s="40"/>
      <c r="K25" s="41"/>
    </row>
    <row r="26" spans="1:11" s="21" customFormat="1">
      <c r="A26" s="19"/>
      <c r="B26" s="36" t="s">
        <v>203</v>
      </c>
      <c r="C26" s="35">
        <f>C23*C25</f>
        <v>2.3936387112304276</v>
      </c>
      <c r="D26" s="32"/>
      <c r="E26" s="28"/>
      <c r="F26" s="36"/>
      <c r="G26" s="33"/>
      <c r="H26" s="32"/>
      <c r="I26" s="25"/>
      <c r="J26" s="16"/>
      <c r="K26" s="41"/>
    </row>
    <row r="27" spans="1:11" s="21" customFormat="1">
      <c r="A27" s="19"/>
      <c r="B27" s="36"/>
      <c r="C27" s="33"/>
      <c r="D27" s="32"/>
      <c r="E27" s="28"/>
      <c r="F27" s="36"/>
      <c r="G27" s="33"/>
      <c r="H27" s="32"/>
      <c r="I27" s="25"/>
      <c r="J27" s="16"/>
      <c r="K27" s="41"/>
    </row>
    <row r="28" spans="1:11" s="21" customFormat="1">
      <c r="A28" s="19" t="s">
        <v>204</v>
      </c>
      <c r="B28" s="42" t="s">
        <v>205</v>
      </c>
      <c r="C28" s="43"/>
      <c r="D28" s="185"/>
      <c r="E28" s="42"/>
      <c r="F28" s="42"/>
      <c r="G28" s="43"/>
      <c r="H28" s="32"/>
      <c r="I28" s="25"/>
      <c r="J28" s="25"/>
      <c r="K28" s="23"/>
    </row>
    <row r="29" spans="1:11" s="21" customFormat="1">
      <c r="A29" s="19"/>
      <c r="B29" s="186" t="s">
        <v>206</v>
      </c>
      <c r="C29" s="186" t="s">
        <v>207</v>
      </c>
      <c r="D29" s="186" t="s">
        <v>208</v>
      </c>
      <c r="E29" s="186" t="s">
        <v>209</v>
      </c>
      <c r="F29" s="186" t="s">
        <v>210</v>
      </c>
      <c r="G29" s="186" t="s">
        <v>211</v>
      </c>
      <c r="H29" s="34"/>
      <c r="I29" s="25"/>
    </row>
    <row r="30" spans="1:11" s="47" customFormat="1">
      <c r="A30" s="44"/>
      <c r="B30" s="34" t="s">
        <v>212</v>
      </c>
      <c r="C30" s="45">
        <f>C3-1</f>
        <v>3</v>
      </c>
      <c r="D30" s="34">
        <f>SUMSQ(C18:F18)/C2-G18^2/G19</f>
        <v>255.24000000000069</v>
      </c>
      <c r="E30" s="46">
        <f>D30/C30</f>
        <v>85.080000000000226</v>
      </c>
      <c r="F30" s="46">
        <f>E30/E31</f>
        <v>3.2849420849420934</v>
      </c>
      <c r="G30" s="46">
        <f>FINV(0.05,C30,C31)</f>
        <v>2.7395023019660094</v>
      </c>
      <c r="H30" s="34"/>
      <c r="K30" s="48"/>
    </row>
    <row r="31" spans="1:11" s="47" customFormat="1">
      <c r="A31" s="44"/>
      <c r="B31" s="29" t="s">
        <v>213</v>
      </c>
      <c r="C31" s="45">
        <f>(C2-1)*C3</f>
        <v>68</v>
      </c>
      <c r="D31" s="46">
        <f>C20</f>
        <v>1761.2</v>
      </c>
      <c r="E31" s="46">
        <f>D31/C31</f>
        <v>25.900000000000002</v>
      </c>
      <c r="F31" s="46"/>
      <c r="G31" s="46"/>
      <c r="H31" s="46"/>
      <c r="J31" s="24"/>
    </row>
    <row r="32" spans="1:11" s="21" customFormat="1">
      <c r="A32" s="19"/>
      <c r="B32" s="35"/>
      <c r="C32" s="29"/>
      <c r="D32" s="29"/>
      <c r="E32" s="29"/>
      <c r="F32" s="29"/>
      <c r="G32" s="32"/>
      <c r="H32" s="32"/>
      <c r="I32" s="26"/>
    </row>
    <row r="33" spans="1:12" s="21" customFormat="1">
      <c r="A33" s="19" t="s">
        <v>191</v>
      </c>
      <c r="B33" s="36" t="s">
        <v>214</v>
      </c>
      <c r="C33" s="35">
        <f>TINV(H14,C31)</f>
        <v>1.9954689314298424</v>
      </c>
      <c r="D33" s="29"/>
      <c r="E33" s="29"/>
      <c r="F33" s="29"/>
      <c r="G33" s="32"/>
      <c r="H33" s="32"/>
      <c r="I33" s="26"/>
    </row>
    <row r="34" spans="1:12" s="21" customFormat="1" ht="15">
      <c r="A34" s="19"/>
      <c r="B34" s="28" t="s">
        <v>20</v>
      </c>
      <c r="C34" s="35">
        <f>SQRT(E31/C2+E31/C2)</f>
        <v>1.6964014199999298</v>
      </c>
      <c r="D34" s="29"/>
      <c r="E34" s="29"/>
      <c r="F34" s="29"/>
      <c r="G34" s="32"/>
      <c r="H34" s="32"/>
      <c r="I34" s="26"/>
    </row>
    <row r="35" spans="1:12" s="21" customFormat="1">
      <c r="A35" s="19"/>
      <c r="B35" s="187" t="s">
        <v>215</v>
      </c>
      <c r="C35" s="188">
        <f>C33*C34</f>
        <v>3.3851163288433272</v>
      </c>
      <c r="D35" s="29"/>
      <c r="E35" s="29"/>
      <c r="F35" s="29"/>
      <c r="G35" s="32"/>
      <c r="H35" s="32"/>
      <c r="I35" s="26"/>
    </row>
    <row r="36" spans="1:12" s="21" customFormat="1">
      <c r="A36" s="19"/>
      <c r="B36" s="35"/>
      <c r="C36" s="29"/>
      <c r="D36" s="29"/>
      <c r="E36" s="29"/>
      <c r="F36" s="29"/>
      <c r="G36" s="32"/>
      <c r="H36" s="32"/>
      <c r="I36" s="26"/>
    </row>
    <row r="37" spans="1:12" s="21" customFormat="1">
      <c r="A37" s="19" t="s">
        <v>216</v>
      </c>
      <c r="B37" s="36" t="s">
        <v>217</v>
      </c>
      <c r="C37" s="35">
        <f>FINV(0.05,C30,C31)*C30</f>
        <v>8.2185069058980282</v>
      </c>
      <c r="D37" s="29"/>
      <c r="E37" s="29"/>
      <c r="F37" s="29"/>
      <c r="G37" s="32"/>
      <c r="H37" s="32"/>
      <c r="I37" s="26"/>
    </row>
    <row r="38" spans="1:12" s="21" customFormat="1">
      <c r="A38" s="19"/>
      <c r="B38" s="36" t="s">
        <v>214</v>
      </c>
      <c r="C38" s="35">
        <f>SQRT(C37)</f>
        <v>2.8667938373552482</v>
      </c>
      <c r="D38" s="29"/>
      <c r="E38" s="29"/>
      <c r="F38" s="29"/>
      <c r="G38" s="32"/>
      <c r="H38" s="32"/>
      <c r="I38" s="26"/>
    </row>
    <row r="39" spans="1:12" s="21" customFormat="1" ht="15">
      <c r="A39" s="19"/>
      <c r="B39" s="28" t="s">
        <v>20</v>
      </c>
      <c r="C39" s="35">
        <f>SQRT(E31/C2+E31/C2)</f>
        <v>1.6964014199999298</v>
      </c>
      <c r="D39" s="29"/>
      <c r="E39" s="29"/>
      <c r="F39" s="29"/>
      <c r="G39" s="32"/>
      <c r="H39" s="32"/>
      <c r="I39" s="26"/>
    </row>
    <row r="40" spans="1:12" s="21" customFormat="1">
      <c r="A40" s="19"/>
      <c r="B40" s="187" t="s">
        <v>215</v>
      </c>
      <c r="C40" s="188">
        <f>C38*C39</f>
        <v>4.8632331365364907</v>
      </c>
      <c r="D40" s="29"/>
      <c r="E40" s="29"/>
      <c r="F40" s="29"/>
      <c r="G40" s="32"/>
      <c r="H40" s="32"/>
      <c r="I40" s="26"/>
    </row>
    <row r="41" spans="1:12" s="21" customFormat="1">
      <c r="A41" s="19"/>
      <c r="B41" s="23"/>
      <c r="C41" s="24"/>
      <c r="D41" s="24"/>
      <c r="E41" s="24"/>
      <c r="F41" s="24"/>
      <c r="I41" s="26"/>
    </row>
    <row r="42" spans="1:12" s="21" customFormat="1">
      <c r="A42" s="19"/>
      <c r="B42" s="25"/>
      <c r="C42" s="47"/>
      <c r="D42" s="47"/>
      <c r="E42" s="25"/>
      <c r="F42" s="25"/>
      <c r="G42" s="47"/>
      <c r="H42" s="47"/>
      <c r="I42" s="25"/>
      <c r="J42" s="25"/>
      <c r="K42" s="47"/>
      <c r="L42" s="47"/>
    </row>
    <row r="43" spans="1:12" s="21" customFormat="1">
      <c r="A43" s="8" t="s">
        <v>31</v>
      </c>
      <c r="B43" s="146" t="s">
        <v>116</v>
      </c>
      <c r="C43" s="146"/>
      <c r="D43" s="146"/>
      <c r="E43" s="146"/>
      <c r="F43" s="146"/>
    </row>
    <row r="44" spans="1:12" s="21" customFormat="1">
      <c r="A44" s="19"/>
      <c r="B44" s="147" t="s">
        <v>117</v>
      </c>
      <c r="C44" s="1">
        <v>28</v>
      </c>
      <c r="D44" s="146"/>
      <c r="E44" s="147"/>
      <c r="F44" s="147"/>
      <c r="G44" s="49"/>
      <c r="I44" s="25"/>
      <c r="J44" s="25"/>
      <c r="K44" s="49"/>
    </row>
    <row r="45" spans="1:12" s="21" customFormat="1">
      <c r="A45" s="50"/>
      <c r="B45" s="147" t="s">
        <v>32</v>
      </c>
      <c r="C45" s="1">
        <v>4</v>
      </c>
      <c r="D45" s="146"/>
      <c r="E45" s="146"/>
      <c r="F45" s="146"/>
      <c r="I45" s="26"/>
    </row>
    <row r="46" spans="1:12" s="21" customFormat="1">
      <c r="A46" s="50"/>
      <c r="B46" s="147" t="s">
        <v>118</v>
      </c>
      <c r="C46" s="22">
        <v>529.1</v>
      </c>
      <c r="D46" s="146"/>
      <c r="E46" s="148"/>
      <c r="F46" s="146"/>
      <c r="I46" s="26"/>
    </row>
    <row r="47" spans="1:12" s="21" customFormat="1">
      <c r="A47" s="19"/>
      <c r="B47" s="4" t="s">
        <v>33</v>
      </c>
      <c r="C47" s="5">
        <v>12</v>
      </c>
      <c r="D47" s="4"/>
      <c r="E47" s="10"/>
      <c r="F47" s="11"/>
    </row>
    <row r="48" spans="1:12" s="21" customFormat="1">
      <c r="A48" s="19"/>
      <c r="B48" s="4" t="s">
        <v>9</v>
      </c>
      <c r="C48" s="5">
        <v>2</v>
      </c>
      <c r="D48" s="4"/>
      <c r="E48" s="10"/>
      <c r="F48" s="11"/>
    </row>
    <row r="49" spans="1:11" s="21" customFormat="1">
      <c r="A49" s="19"/>
      <c r="B49" s="4" t="s">
        <v>10</v>
      </c>
      <c r="C49" s="7">
        <v>-3</v>
      </c>
      <c r="D49" s="7">
        <v>1</v>
      </c>
      <c r="E49" s="7">
        <v>3</v>
      </c>
      <c r="F49" s="7">
        <v>-1</v>
      </c>
    </row>
    <row r="50" spans="1:11" s="21" customFormat="1">
      <c r="A50" s="19"/>
      <c r="B50" s="4" t="s">
        <v>34</v>
      </c>
      <c r="C50" s="7">
        <v>6</v>
      </c>
      <c r="D50" s="7">
        <v>10</v>
      </c>
      <c r="E50" s="7">
        <v>12</v>
      </c>
      <c r="F50" s="7">
        <v>8</v>
      </c>
    </row>
    <row r="51" spans="1:11" s="21" customFormat="1">
      <c r="A51" s="19"/>
      <c r="B51" s="149" t="s">
        <v>115</v>
      </c>
      <c r="C51" s="51" t="s">
        <v>119</v>
      </c>
      <c r="D51" s="51" t="s">
        <v>120</v>
      </c>
      <c r="E51" s="51" t="s">
        <v>121</v>
      </c>
      <c r="F51" s="51" t="s">
        <v>122</v>
      </c>
      <c r="G51" s="52"/>
    </row>
    <row r="52" spans="1:11" s="21" customFormat="1">
      <c r="A52" s="19"/>
      <c r="B52" s="150" t="s">
        <v>123</v>
      </c>
      <c r="C52" s="17">
        <v>0</v>
      </c>
      <c r="D52" s="17">
        <v>4</v>
      </c>
      <c r="E52" s="17">
        <v>8</v>
      </c>
      <c r="F52" s="17">
        <v>12</v>
      </c>
      <c r="I52" s="25"/>
      <c r="J52" s="16"/>
      <c r="K52" s="23"/>
    </row>
    <row r="53" spans="1:11" s="21" customFormat="1" ht="15">
      <c r="A53" s="19"/>
      <c r="B53" s="149" t="s">
        <v>35</v>
      </c>
      <c r="C53" s="14">
        <v>5.9</v>
      </c>
      <c r="D53" s="14">
        <v>10.3</v>
      </c>
      <c r="E53" s="14">
        <v>12.5</v>
      </c>
      <c r="F53" s="14">
        <v>8.3000000000000007</v>
      </c>
      <c r="I53" s="25"/>
      <c r="J53" s="25"/>
      <c r="K53" s="23"/>
    </row>
    <row r="54" spans="1:11" s="21" customFormat="1">
      <c r="A54" s="19"/>
      <c r="B54" s="23" t="s">
        <v>11</v>
      </c>
      <c r="C54" s="24"/>
      <c r="D54" s="24"/>
      <c r="E54" s="24"/>
      <c r="F54" s="24"/>
      <c r="I54" s="25"/>
    </row>
    <row r="55" spans="1:11" s="21" customFormat="1">
      <c r="A55" s="19" t="s">
        <v>12</v>
      </c>
      <c r="B55" s="23" t="s">
        <v>13</v>
      </c>
      <c r="C55" s="24"/>
      <c r="D55" s="24"/>
      <c r="E55" s="24"/>
      <c r="F55" s="24"/>
      <c r="I55" s="25"/>
    </row>
    <row r="56" spans="1:11" s="21" customFormat="1">
      <c r="A56" s="19" t="s">
        <v>22</v>
      </c>
      <c r="B56" s="21" t="s">
        <v>36</v>
      </c>
      <c r="G56" s="41"/>
      <c r="I56" s="25"/>
      <c r="J56" s="40"/>
      <c r="K56" s="41"/>
    </row>
    <row r="57" spans="1:11" s="21" customFormat="1">
      <c r="A57" s="19" t="s">
        <v>37</v>
      </c>
      <c r="B57" s="23" t="s">
        <v>38</v>
      </c>
      <c r="C57" s="24"/>
      <c r="D57" s="47"/>
      <c r="E57" s="47"/>
      <c r="F57" s="25"/>
      <c r="G57" s="49"/>
      <c r="J57" s="25"/>
      <c r="K57" s="49"/>
    </row>
    <row r="58" spans="1:11" s="21" customFormat="1">
      <c r="A58" s="19" t="s">
        <v>39</v>
      </c>
      <c r="B58" s="23" t="s">
        <v>40</v>
      </c>
      <c r="C58" s="24"/>
      <c r="D58" s="47"/>
      <c r="E58" s="47"/>
      <c r="F58" s="25"/>
      <c r="G58" s="49"/>
      <c r="I58" s="25"/>
      <c r="J58" s="25"/>
      <c r="K58" s="49"/>
    </row>
    <row r="59" spans="1:11" s="21" customFormat="1" ht="15">
      <c r="A59" s="19"/>
      <c r="B59" s="23" t="s">
        <v>41</v>
      </c>
      <c r="C59" s="24"/>
      <c r="D59" s="47"/>
      <c r="E59" s="47"/>
      <c r="F59" s="25"/>
      <c r="G59" s="49"/>
      <c r="I59" s="25"/>
      <c r="J59" s="25"/>
      <c r="K59" s="49"/>
    </row>
    <row r="60" spans="1:11" s="21" customFormat="1" ht="15">
      <c r="A60" s="19"/>
      <c r="B60" s="23" t="s">
        <v>42</v>
      </c>
      <c r="C60" s="24"/>
      <c r="D60" s="47"/>
      <c r="E60" s="47"/>
      <c r="F60" s="25"/>
      <c r="G60" s="49"/>
      <c r="I60" s="25"/>
      <c r="J60" s="25"/>
      <c r="K60" s="49"/>
    </row>
    <row r="61" spans="1:11" s="21" customFormat="1">
      <c r="A61" s="19" t="s">
        <v>43</v>
      </c>
      <c r="B61" s="23" t="s">
        <v>44</v>
      </c>
      <c r="C61" s="24"/>
      <c r="D61" s="24"/>
      <c r="E61" s="24"/>
      <c r="F61" s="24"/>
      <c r="I61" s="25"/>
    </row>
    <row r="62" spans="1:11" s="21" customFormat="1">
      <c r="A62" s="50"/>
      <c r="B62" s="23" t="s">
        <v>45</v>
      </c>
      <c r="C62" s="24"/>
      <c r="D62" s="24"/>
      <c r="E62" s="24"/>
      <c r="F62" s="24"/>
      <c r="I62" s="26"/>
    </row>
    <row r="63" spans="1:11" s="21" customFormat="1">
      <c r="A63" s="50"/>
      <c r="B63" s="23"/>
      <c r="C63" s="24"/>
      <c r="D63" s="24"/>
      <c r="E63" s="24"/>
      <c r="F63" s="24"/>
      <c r="I63" s="26"/>
    </row>
    <row r="64" spans="1:11" s="21" customFormat="1">
      <c r="A64" s="19"/>
      <c r="B64" s="27"/>
      <c r="C64" s="24"/>
      <c r="D64" s="24"/>
      <c r="E64" s="24"/>
      <c r="F64" s="24"/>
      <c r="I64" s="26"/>
    </row>
    <row r="65" spans="1:12" s="21" customFormat="1" ht="15">
      <c r="A65" s="19"/>
      <c r="B65" s="28" t="s">
        <v>14</v>
      </c>
      <c r="C65" s="29">
        <f>C53*$C44</f>
        <v>165.20000000000002</v>
      </c>
      <c r="D65" s="29">
        <f>D53*$C44</f>
        <v>288.40000000000003</v>
      </c>
      <c r="E65" s="29">
        <f>E53*$C44</f>
        <v>350</v>
      </c>
      <c r="F65" s="29">
        <f>F53*$C44</f>
        <v>232.40000000000003</v>
      </c>
      <c r="G65" s="30">
        <f>SUM(C65:F65)</f>
        <v>1036</v>
      </c>
      <c r="H65" s="31" t="s">
        <v>15</v>
      </c>
      <c r="I65" s="28"/>
    </row>
    <row r="66" spans="1:12" s="21" customFormat="1">
      <c r="A66" s="19"/>
      <c r="B66" s="28"/>
      <c r="C66" s="29"/>
      <c r="D66" s="29"/>
      <c r="E66" s="29"/>
      <c r="F66" s="29"/>
      <c r="G66" s="30">
        <f>C44*C45</f>
        <v>112</v>
      </c>
      <c r="H66" s="31" t="s">
        <v>16</v>
      </c>
      <c r="I66" s="28"/>
    </row>
    <row r="67" spans="1:12" s="21" customFormat="1">
      <c r="A67" s="19" t="s">
        <v>12</v>
      </c>
      <c r="B67" s="28" t="s">
        <v>17</v>
      </c>
      <c r="C67" s="37">
        <f>C46</f>
        <v>529.1</v>
      </c>
      <c r="D67" s="34"/>
      <c r="E67" s="34"/>
      <c r="F67" s="28"/>
      <c r="G67" s="35"/>
      <c r="H67" s="32"/>
      <c r="I67" s="28"/>
      <c r="J67" s="25"/>
      <c r="K67" s="23"/>
    </row>
    <row r="68" spans="1:12" s="21" customFormat="1">
      <c r="A68" s="19"/>
      <c r="B68" s="36" t="s">
        <v>18</v>
      </c>
      <c r="C68" s="37">
        <f>(C44-1)*C45</f>
        <v>108</v>
      </c>
      <c r="D68" s="32"/>
      <c r="E68" s="28"/>
      <c r="F68" s="36"/>
      <c r="G68" s="35"/>
      <c r="H68" s="32"/>
      <c r="I68" s="28"/>
      <c r="J68" s="16"/>
      <c r="K68" s="23"/>
    </row>
    <row r="69" spans="1:12" s="21" customFormat="1">
      <c r="A69" s="19"/>
      <c r="B69" s="28" t="s">
        <v>19</v>
      </c>
      <c r="C69" s="38">
        <f>C67/C68</f>
        <v>4.8990740740740746</v>
      </c>
      <c r="D69" s="32"/>
      <c r="E69" s="28"/>
      <c r="F69" s="28"/>
      <c r="G69" s="35"/>
      <c r="H69" s="32"/>
      <c r="I69" s="28"/>
      <c r="J69" s="25"/>
      <c r="K69" s="23"/>
    </row>
    <row r="70" spans="1:12" s="21" customFormat="1" ht="15">
      <c r="A70" s="19"/>
      <c r="B70" s="28" t="s">
        <v>20</v>
      </c>
      <c r="C70" s="35">
        <f>SQRT(C69/C44)</f>
        <v>0.41829048664406804</v>
      </c>
      <c r="D70" s="32"/>
      <c r="E70" s="28"/>
      <c r="F70" s="28"/>
      <c r="G70" s="35"/>
      <c r="H70" s="32"/>
      <c r="I70" s="28"/>
      <c r="J70" s="25"/>
      <c r="K70" s="23"/>
    </row>
    <row r="71" spans="1:12" s="21" customFormat="1">
      <c r="A71" s="19"/>
      <c r="B71" s="28" t="s">
        <v>21</v>
      </c>
      <c r="C71" s="39">
        <v>0.95</v>
      </c>
      <c r="D71" s="32"/>
      <c r="E71" s="28"/>
      <c r="F71" s="32"/>
      <c r="G71" s="32"/>
      <c r="H71" s="32"/>
      <c r="I71" s="28"/>
    </row>
    <row r="72" spans="1:12" s="21" customFormat="1">
      <c r="A72" s="19"/>
      <c r="B72" s="36" t="s">
        <v>46</v>
      </c>
      <c r="C72" s="35">
        <f>TINV(1-C71,C68)</f>
        <v>1.982173483307728</v>
      </c>
      <c r="D72" s="32"/>
      <c r="E72" s="28"/>
      <c r="F72" s="36"/>
      <c r="G72" s="33"/>
      <c r="H72" s="32"/>
      <c r="I72" s="28"/>
      <c r="J72" s="40"/>
      <c r="K72" s="41"/>
    </row>
    <row r="73" spans="1:12" s="21" customFormat="1">
      <c r="A73" s="19"/>
      <c r="B73" s="36" t="s">
        <v>47</v>
      </c>
      <c r="C73" s="35">
        <f>C70*C72</f>
        <v>0.829124310945757</v>
      </c>
      <c r="D73" s="32"/>
      <c r="E73" s="28"/>
      <c r="F73" s="36"/>
      <c r="G73" s="33"/>
      <c r="H73" s="32"/>
      <c r="I73" s="28"/>
      <c r="J73" s="16"/>
      <c r="K73" s="41"/>
    </row>
    <row r="74" spans="1:12" s="21" customFormat="1">
      <c r="A74" s="19"/>
      <c r="B74" s="36"/>
      <c r="C74" s="33"/>
      <c r="D74" s="32"/>
      <c r="E74" s="28"/>
      <c r="F74" s="36"/>
      <c r="G74" s="33"/>
      <c r="H74" s="32"/>
      <c r="I74" s="28"/>
      <c r="J74" s="16"/>
      <c r="K74" s="41"/>
    </row>
    <row r="75" spans="1:12" s="21" customFormat="1" ht="15">
      <c r="A75" s="19" t="s">
        <v>22</v>
      </c>
      <c r="B75" s="53" t="s">
        <v>48</v>
      </c>
      <c r="C75" s="45">
        <v>-3</v>
      </c>
      <c r="D75" s="45">
        <v>-1</v>
      </c>
      <c r="E75" s="45">
        <v>1</v>
      </c>
      <c r="F75" s="45">
        <v>3</v>
      </c>
      <c r="G75" s="37"/>
      <c r="H75" s="32"/>
      <c r="I75" s="32"/>
      <c r="J75" s="25"/>
      <c r="K75" s="49"/>
    </row>
    <row r="76" spans="1:12" s="21" customFormat="1">
      <c r="A76" s="19"/>
      <c r="B76" s="36"/>
      <c r="C76" s="35"/>
      <c r="D76" s="32"/>
      <c r="E76" s="28"/>
      <c r="F76" s="36"/>
      <c r="G76" s="35"/>
      <c r="H76" s="32"/>
      <c r="I76" s="28"/>
      <c r="J76" s="16"/>
      <c r="K76" s="23"/>
    </row>
    <row r="77" spans="1:12" s="21" customFormat="1">
      <c r="A77" s="19" t="s">
        <v>37</v>
      </c>
      <c r="B77" s="28" t="s">
        <v>49</v>
      </c>
      <c r="C77" s="35"/>
      <c r="D77" s="32"/>
      <c r="E77" s="28"/>
      <c r="F77" s="28"/>
      <c r="G77" s="35"/>
      <c r="H77" s="32"/>
      <c r="I77" s="28"/>
      <c r="J77" s="25"/>
      <c r="K77" s="23"/>
    </row>
    <row r="78" spans="1:12" s="21" customFormat="1">
      <c r="A78" s="19"/>
      <c r="B78" s="54" t="s">
        <v>50</v>
      </c>
      <c r="C78" s="54" t="s">
        <v>51</v>
      </c>
      <c r="D78" s="54" t="s">
        <v>52</v>
      </c>
      <c r="E78" s="54" t="s">
        <v>27</v>
      </c>
      <c r="F78" s="54" t="s">
        <v>28</v>
      </c>
      <c r="G78" s="54" t="s">
        <v>29</v>
      </c>
      <c r="H78" s="54" t="s">
        <v>53</v>
      </c>
      <c r="I78" s="28"/>
    </row>
    <row r="79" spans="1:12" s="47" customFormat="1">
      <c r="A79" s="44"/>
      <c r="B79" s="34" t="s">
        <v>54</v>
      </c>
      <c r="C79" s="45">
        <f>C45-1</f>
        <v>3</v>
      </c>
      <c r="D79" s="55">
        <f>SUMSQ(C65:F65)/C44-G65^2/G66</f>
        <v>666.1200000000008</v>
      </c>
      <c r="E79" s="46"/>
      <c r="F79" s="46"/>
      <c r="G79" s="46"/>
      <c r="H79" s="46"/>
      <c r="I79" s="34"/>
      <c r="K79" s="48"/>
    </row>
    <row r="80" spans="1:12" s="25" customFormat="1">
      <c r="A80" s="19"/>
      <c r="B80" s="28" t="s">
        <v>55</v>
      </c>
      <c r="C80" s="56">
        <v>1</v>
      </c>
      <c r="D80" s="57">
        <f>C44*(SUMPRODUCT(C53:F53,C75:F75))^2/SUMSQ(C75:F75)</f>
        <v>123.70399999999995</v>
      </c>
      <c r="E80" s="58">
        <f>D80/C80</f>
        <v>123.70399999999995</v>
      </c>
      <c r="F80" s="53">
        <f>E80/$E$82</f>
        <v>25.250485730485718</v>
      </c>
      <c r="G80" s="53">
        <f>FINV(0.05,C80,$C$82)</f>
        <v>3.9290117179282849</v>
      </c>
      <c r="H80" s="59">
        <f>D80/D79</f>
        <v>0.1857082807902477</v>
      </c>
      <c r="I80" s="28"/>
      <c r="K80" s="60"/>
      <c r="L80" s="60"/>
    </row>
    <row r="81" spans="1:12" s="25" customFormat="1">
      <c r="A81" s="19"/>
      <c r="B81" s="28" t="s">
        <v>56</v>
      </c>
      <c r="C81" s="56">
        <f>C79-C80</f>
        <v>2</v>
      </c>
      <c r="D81" s="58">
        <f>D79-D80</f>
        <v>542.41600000000085</v>
      </c>
      <c r="E81" s="58">
        <f>D81/C81</f>
        <v>271.20800000000042</v>
      </c>
      <c r="F81" s="53">
        <f>E81/$E$82</f>
        <v>55.359032319032401</v>
      </c>
      <c r="G81" s="53">
        <f>FINV(0.05,C81,$C$82)</f>
        <v>3.0803868632925813</v>
      </c>
      <c r="H81" s="59">
        <f>1-H80</f>
        <v>0.8142917192097523</v>
      </c>
      <c r="I81" s="28"/>
      <c r="K81" s="40"/>
      <c r="L81" s="40"/>
    </row>
    <row r="82" spans="1:12" s="47" customFormat="1">
      <c r="A82" s="44"/>
      <c r="B82" s="29" t="s">
        <v>30</v>
      </c>
      <c r="C82" s="45">
        <f>(C44-1)*C45</f>
        <v>108</v>
      </c>
      <c r="D82" s="61">
        <f>C46</f>
        <v>529.1</v>
      </c>
      <c r="E82" s="61">
        <f>D82/C82</f>
        <v>4.8990740740740746</v>
      </c>
      <c r="F82" s="46"/>
      <c r="G82" s="46"/>
      <c r="H82" s="46"/>
      <c r="I82" s="34"/>
      <c r="J82" s="24"/>
    </row>
    <row r="83" spans="1:12" s="21" customFormat="1">
      <c r="A83" s="19"/>
      <c r="B83" s="37" t="s">
        <v>57</v>
      </c>
      <c r="C83" s="62">
        <f>C79+C82</f>
        <v>111</v>
      </c>
      <c r="D83" s="63">
        <f>D79+D82</f>
        <v>1195.2200000000007</v>
      </c>
      <c r="E83" s="63"/>
      <c r="F83" s="64"/>
      <c r="G83" s="64"/>
      <c r="H83" s="64"/>
      <c r="I83" s="28"/>
      <c r="J83" s="16"/>
      <c r="K83" s="47"/>
      <c r="L83" s="47"/>
    </row>
    <row r="84" spans="1:12" s="21" customFormat="1">
      <c r="A84" s="19"/>
      <c r="B84" s="42"/>
      <c r="C84" s="54"/>
      <c r="D84" s="54"/>
      <c r="E84" s="42"/>
      <c r="F84" s="42"/>
      <c r="G84" s="54"/>
      <c r="H84" s="54"/>
      <c r="I84" s="42"/>
      <c r="J84" s="25"/>
      <c r="K84" s="47"/>
      <c r="L84" s="47"/>
    </row>
    <row r="85" spans="1:12" s="21" customFormat="1" ht="15">
      <c r="A85" s="19" t="s">
        <v>58</v>
      </c>
      <c r="B85" s="28" t="s">
        <v>59</v>
      </c>
      <c r="C85" s="65">
        <f>H80</f>
        <v>0.1857082807902477</v>
      </c>
      <c r="D85" s="66"/>
      <c r="E85" s="28"/>
      <c r="F85" s="28"/>
      <c r="G85" s="66"/>
      <c r="H85" s="66"/>
      <c r="I85" s="28"/>
      <c r="J85" s="25"/>
      <c r="K85" s="67"/>
      <c r="L85" s="67"/>
    </row>
    <row r="86" spans="1:12" s="21" customFormat="1">
      <c r="A86" s="19"/>
      <c r="B86" s="28" t="s">
        <v>60</v>
      </c>
      <c r="C86" s="35" t="s">
        <v>61</v>
      </c>
      <c r="D86" s="66"/>
      <c r="E86" s="28"/>
      <c r="F86" s="28"/>
      <c r="G86" s="66"/>
      <c r="H86" s="66"/>
      <c r="I86" s="28"/>
      <c r="J86" s="25"/>
      <c r="K86" s="67"/>
      <c r="L86" s="67"/>
    </row>
    <row r="87" spans="1:12" s="21" customFormat="1">
      <c r="A87" s="19"/>
      <c r="B87" s="68" t="s">
        <v>4</v>
      </c>
      <c r="C87" s="37">
        <f>SUM(C53:F53)</f>
        <v>37</v>
      </c>
      <c r="D87" s="68" t="s">
        <v>5</v>
      </c>
      <c r="E87" s="37">
        <f>SUM(C75:F75)</f>
        <v>0</v>
      </c>
      <c r="F87" s="32"/>
      <c r="G87" s="32"/>
      <c r="H87" s="32"/>
      <c r="I87" s="28"/>
    </row>
    <row r="88" spans="1:12" s="21" customFormat="1" ht="15">
      <c r="A88" s="19"/>
      <c r="B88" s="28" t="s">
        <v>6</v>
      </c>
      <c r="C88" s="37">
        <f>C87^2</f>
        <v>1369</v>
      </c>
      <c r="D88" s="28" t="s">
        <v>7</v>
      </c>
      <c r="E88" s="37">
        <f>E87^2</f>
        <v>0</v>
      </c>
      <c r="F88" s="28"/>
      <c r="G88" s="39"/>
      <c r="H88" s="32"/>
      <c r="I88" s="28"/>
      <c r="J88" s="25"/>
      <c r="K88" s="69"/>
    </row>
    <row r="89" spans="1:12" s="21" customFormat="1" ht="15">
      <c r="A89" s="19"/>
      <c r="B89" s="28" t="s">
        <v>62</v>
      </c>
      <c r="C89" s="37">
        <f>C45*SUMSQ(C53:F53)</f>
        <v>1464.1600000000003</v>
      </c>
      <c r="D89" s="28" t="s">
        <v>63</v>
      </c>
      <c r="E89" s="37">
        <f>C45*SUMSQ(C75:F75)</f>
        <v>80</v>
      </c>
      <c r="F89" s="28"/>
      <c r="G89" s="70"/>
      <c r="H89" s="70"/>
      <c r="I89" s="28"/>
      <c r="J89" s="25"/>
      <c r="K89" s="48"/>
      <c r="L89" s="48"/>
    </row>
    <row r="90" spans="1:12" s="21" customFormat="1">
      <c r="A90" s="19"/>
      <c r="B90" s="28"/>
      <c r="C90" s="28" t="s">
        <v>64</v>
      </c>
      <c r="D90" s="37">
        <f>C45*SUMPRODUCT(C53:F53,C75:F75)</f>
        <v>37.599999999999994</v>
      </c>
      <c r="E90" s="32"/>
      <c r="F90" s="28"/>
      <c r="G90" s="34"/>
      <c r="H90" s="34"/>
      <c r="I90" s="28"/>
      <c r="J90" s="25"/>
      <c r="K90" s="24"/>
      <c r="L90" s="24"/>
    </row>
    <row r="91" spans="1:12" s="21" customFormat="1" ht="15">
      <c r="A91" s="19"/>
      <c r="B91" s="28" t="s">
        <v>8</v>
      </c>
      <c r="C91" s="35">
        <f>(D90-C87*E87)^2/((C89-C88)*(E89-E88))</f>
        <v>0.18570828079024734</v>
      </c>
      <c r="D91" s="34"/>
      <c r="E91" s="36"/>
      <c r="F91" s="36"/>
      <c r="G91" s="29"/>
      <c r="H91" s="34"/>
      <c r="I91" s="28"/>
      <c r="J91" s="40"/>
      <c r="K91" s="47"/>
      <c r="L91" s="47"/>
    </row>
    <row r="92" spans="1:12" s="21" customFormat="1">
      <c r="A92" s="19"/>
      <c r="B92" s="36"/>
      <c r="C92" s="34"/>
      <c r="D92" s="34"/>
      <c r="E92" s="36"/>
      <c r="F92" s="36"/>
      <c r="G92" s="29"/>
      <c r="H92" s="34"/>
      <c r="I92" s="28"/>
      <c r="J92" s="16"/>
      <c r="K92" s="47"/>
      <c r="L92" s="47"/>
    </row>
    <row r="93" spans="1:12" s="21" customFormat="1" ht="15">
      <c r="A93" s="19" t="s">
        <v>65</v>
      </c>
      <c r="B93" s="53" t="s">
        <v>48</v>
      </c>
      <c r="C93" s="45">
        <v>-1</v>
      </c>
      <c r="D93" s="45">
        <v>1</v>
      </c>
      <c r="E93" s="45">
        <v>1</v>
      </c>
      <c r="F93" s="45">
        <v>-1</v>
      </c>
      <c r="G93" s="37"/>
      <c r="H93" s="32"/>
      <c r="I93" s="32"/>
      <c r="J93" s="25"/>
      <c r="K93" s="49"/>
    </row>
    <row r="94" spans="1:12" s="21" customFormat="1">
      <c r="A94" s="19"/>
      <c r="B94" s="36"/>
      <c r="C94" s="35"/>
      <c r="D94" s="32"/>
      <c r="E94" s="28"/>
      <c r="F94" s="36"/>
      <c r="G94" s="35"/>
      <c r="H94" s="32"/>
      <c r="I94" s="28"/>
      <c r="J94" s="16"/>
      <c r="K94" s="23"/>
    </row>
    <row r="95" spans="1:12" s="21" customFormat="1">
      <c r="A95" s="19"/>
      <c r="B95" s="28" t="s">
        <v>23</v>
      </c>
      <c r="C95" s="35"/>
      <c r="D95" s="32"/>
      <c r="E95" s="28"/>
      <c r="F95" s="28"/>
      <c r="G95" s="35"/>
      <c r="H95" s="32"/>
      <c r="I95" s="28"/>
      <c r="J95" s="25"/>
      <c r="K95" s="23"/>
    </row>
    <row r="96" spans="1:12" s="21" customFormat="1">
      <c r="A96" s="19"/>
      <c r="B96" s="54" t="s">
        <v>24</v>
      </c>
      <c r="C96" s="54" t="s">
        <v>25</v>
      </c>
      <c r="D96" s="54" t="s">
        <v>26</v>
      </c>
      <c r="E96" s="54" t="s">
        <v>27</v>
      </c>
      <c r="F96" s="54" t="s">
        <v>28</v>
      </c>
      <c r="G96" s="54" t="s">
        <v>29</v>
      </c>
      <c r="H96" s="54" t="s">
        <v>66</v>
      </c>
      <c r="I96" s="28"/>
    </row>
    <row r="97" spans="1:12" s="47" customFormat="1">
      <c r="A97" s="44"/>
      <c r="B97" s="34" t="s">
        <v>67</v>
      </c>
      <c r="C97" s="45">
        <f>C79</f>
        <v>3</v>
      </c>
      <c r="D97" s="55">
        <f>D79</f>
        <v>666.1200000000008</v>
      </c>
      <c r="E97" s="61"/>
      <c r="F97" s="46"/>
      <c r="G97" s="46"/>
      <c r="H97" s="46"/>
      <c r="I97" s="34"/>
      <c r="K97" s="48"/>
    </row>
    <row r="98" spans="1:12" s="25" customFormat="1">
      <c r="A98" s="19"/>
      <c r="B98" s="28" t="s">
        <v>68</v>
      </c>
      <c r="C98" s="56">
        <v>1</v>
      </c>
      <c r="D98" s="57">
        <f>D80</f>
        <v>123.70399999999995</v>
      </c>
      <c r="E98" s="58">
        <f>D98/C98</f>
        <v>123.70399999999995</v>
      </c>
      <c r="F98" s="53">
        <f>E98/$E$101</f>
        <v>25.250485730485718</v>
      </c>
      <c r="G98" s="53">
        <f>FINV(0.05,C98,$C$82)</f>
        <v>3.9290117179282849</v>
      </c>
      <c r="H98" s="59">
        <f>D98/D97</f>
        <v>0.1857082807902477</v>
      </c>
      <c r="I98" s="28"/>
      <c r="K98" s="60"/>
      <c r="L98" s="60"/>
    </row>
    <row r="99" spans="1:12" s="25" customFormat="1">
      <c r="A99" s="19"/>
      <c r="B99" s="28" t="s">
        <v>69</v>
      </c>
      <c r="C99" s="56">
        <v>1</v>
      </c>
      <c r="D99" s="57">
        <f>C44*(SUMPRODUCT(C53:F53,C93:F93))^2/SUMSQ(C93:F93)</f>
        <v>517.7199999999998</v>
      </c>
      <c r="E99" s="58">
        <f>D99/C99</f>
        <v>517.7199999999998</v>
      </c>
      <c r="F99" s="53">
        <f t="shared" ref="F99:F100" si="0">E99/$E$101</f>
        <v>105.67711207711203</v>
      </c>
      <c r="G99" s="53">
        <f>FINV(0.05,C99,$C$82)</f>
        <v>3.9290117179282849</v>
      </c>
      <c r="H99" s="59">
        <f>D99/D97</f>
        <v>0.77721731820092355</v>
      </c>
      <c r="I99" s="28"/>
      <c r="K99" s="60"/>
      <c r="L99" s="60"/>
    </row>
    <row r="100" spans="1:12" s="25" customFormat="1">
      <c r="A100" s="19"/>
      <c r="B100" s="28" t="s">
        <v>70</v>
      </c>
      <c r="C100" s="56">
        <f>C97-(C98+C99)</f>
        <v>1</v>
      </c>
      <c r="D100" s="58">
        <f>D97-(D98+D99)</f>
        <v>24.69600000000105</v>
      </c>
      <c r="E100" s="58">
        <f>D100/C100</f>
        <v>24.69600000000105</v>
      </c>
      <c r="F100" s="53">
        <f t="shared" si="0"/>
        <v>5.0409525609527748</v>
      </c>
      <c r="G100" s="53">
        <f>FINV(0.05,C100,$C$82)</f>
        <v>3.9290117179282849</v>
      </c>
      <c r="H100" s="59">
        <f>D100/D97</f>
        <v>3.7074401008828771E-2</v>
      </c>
      <c r="I100" s="28"/>
      <c r="K100" s="40"/>
      <c r="L100" s="40"/>
    </row>
    <row r="101" spans="1:12" s="47" customFormat="1">
      <c r="A101" s="44"/>
      <c r="B101" s="29" t="s">
        <v>71</v>
      </c>
      <c r="C101" s="45">
        <f>C82</f>
        <v>108</v>
      </c>
      <c r="D101" s="61">
        <f>C67</f>
        <v>529.1</v>
      </c>
      <c r="E101" s="61">
        <f>D101/C101</f>
        <v>4.8990740740740746</v>
      </c>
      <c r="F101" s="46"/>
      <c r="G101" s="46"/>
      <c r="H101" s="46"/>
      <c r="I101" s="34"/>
      <c r="J101" s="24"/>
    </row>
    <row r="102" spans="1:12" s="21" customFormat="1">
      <c r="A102" s="19"/>
      <c r="B102" s="37" t="s">
        <v>57</v>
      </c>
      <c r="C102" s="62">
        <f>C97+C101</f>
        <v>111</v>
      </c>
      <c r="D102" s="63">
        <f>D97+D101</f>
        <v>1195.2200000000007</v>
      </c>
      <c r="E102" s="63"/>
      <c r="F102" s="64"/>
      <c r="G102" s="64"/>
      <c r="H102" s="64"/>
      <c r="I102" s="28"/>
      <c r="J102" s="16"/>
      <c r="K102" s="47"/>
      <c r="L102" s="47"/>
    </row>
    <row r="103" spans="1:12" s="21" customFormat="1">
      <c r="A103" s="19"/>
      <c r="B103" s="15"/>
      <c r="C103" s="71"/>
      <c r="D103" s="71"/>
      <c r="E103" s="72"/>
      <c r="F103" s="52"/>
      <c r="G103" s="52"/>
      <c r="H103" s="52"/>
      <c r="I103" s="25"/>
      <c r="J103" s="16"/>
      <c r="K103" s="47"/>
      <c r="L103" s="47"/>
    </row>
    <row r="104" spans="1:12" s="21" customFormat="1">
      <c r="A104" s="8" t="s">
        <v>218</v>
      </c>
      <c r="B104" s="146" t="s">
        <v>181</v>
      </c>
      <c r="C104" s="189"/>
      <c r="D104" s="146"/>
      <c r="E104" s="189"/>
      <c r="F104" s="146"/>
    </row>
    <row r="105" spans="1:12" s="21" customFormat="1">
      <c r="A105" s="19"/>
      <c r="B105" s="147" t="s">
        <v>182</v>
      </c>
      <c r="C105" s="1">
        <v>9</v>
      </c>
      <c r="D105" s="146"/>
      <c r="E105" s="147"/>
      <c r="F105" s="147"/>
    </row>
    <row r="106" spans="1:12" s="21" customFormat="1">
      <c r="A106" s="50"/>
      <c r="B106" s="147" t="s">
        <v>183</v>
      </c>
      <c r="C106" s="1">
        <v>4</v>
      </c>
      <c r="D106" s="146"/>
      <c r="E106" s="148"/>
      <c r="F106" s="146"/>
    </row>
    <row r="107" spans="1:12" s="21" customFormat="1">
      <c r="A107" s="50"/>
      <c r="B107" s="147"/>
      <c r="C107" s="1"/>
      <c r="D107" s="146"/>
      <c r="E107" s="148"/>
      <c r="F107" s="146"/>
    </row>
    <row r="108" spans="1:12" s="21" customFormat="1">
      <c r="A108" s="19"/>
      <c r="B108" s="4" t="s">
        <v>33</v>
      </c>
      <c r="C108" s="5">
        <v>12</v>
      </c>
      <c r="D108" s="4"/>
      <c r="E108" s="10"/>
      <c r="F108" s="11"/>
    </row>
    <row r="109" spans="1:12" s="21" customFormat="1">
      <c r="A109" s="19"/>
      <c r="B109" s="4" t="s">
        <v>9</v>
      </c>
      <c r="C109" s="5">
        <v>1</v>
      </c>
      <c r="D109" s="4"/>
      <c r="E109" s="10"/>
      <c r="F109" s="11"/>
    </row>
    <row r="110" spans="1:12" s="21" customFormat="1">
      <c r="A110" s="19"/>
      <c r="B110" s="4" t="s">
        <v>10</v>
      </c>
      <c r="C110" s="7">
        <v>-0.5</v>
      </c>
      <c r="D110" s="7">
        <v>-0.1</v>
      </c>
      <c r="E110" s="7">
        <v>0.2</v>
      </c>
      <c r="F110" s="7">
        <v>0.39999999999999997</v>
      </c>
    </row>
    <row r="111" spans="1:12" s="21" customFormat="1">
      <c r="A111" s="19"/>
      <c r="B111" s="4" t="s">
        <v>34</v>
      </c>
      <c r="C111" s="7">
        <v>8.5</v>
      </c>
      <c r="D111" s="7">
        <v>8.9</v>
      </c>
      <c r="E111" s="7">
        <v>9.1999999999999993</v>
      </c>
      <c r="F111" s="7">
        <v>9.4</v>
      </c>
    </row>
    <row r="112" spans="1:12" s="21" customFormat="1">
      <c r="A112" s="50"/>
      <c r="B112" s="149"/>
      <c r="C112" s="51" t="s">
        <v>219</v>
      </c>
      <c r="D112" s="190" t="s">
        <v>220</v>
      </c>
      <c r="E112" s="190" t="s">
        <v>221</v>
      </c>
      <c r="F112" s="190" t="s">
        <v>222</v>
      </c>
    </row>
    <row r="113" spans="1:9" s="21" customFormat="1">
      <c r="A113" s="19"/>
      <c r="B113" s="144" t="s">
        <v>223</v>
      </c>
      <c r="C113" s="184">
        <v>0</v>
      </c>
      <c r="D113" s="184">
        <v>900</v>
      </c>
      <c r="E113" s="184">
        <v>5300</v>
      </c>
      <c r="F113" s="184">
        <v>9800</v>
      </c>
    </row>
    <row r="114" spans="1:9" s="21" customFormat="1">
      <c r="A114" s="19"/>
      <c r="B114" s="149"/>
      <c r="C114" s="191">
        <v>9.6999999999999993</v>
      </c>
      <c r="D114" s="191">
        <v>9.3000000000000007</v>
      </c>
      <c r="E114" s="191">
        <v>9</v>
      </c>
      <c r="F114" s="191">
        <v>10.1</v>
      </c>
    </row>
    <row r="115" spans="1:9" s="21" customFormat="1">
      <c r="A115" s="19"/>
      <c r="B115" s="149"/>
      <c r="C115" s="191">
        <v>8.6999999999999993</v>
      </c>
      <c r="D115" s="191">
        <v>8.9</v>
      </c>
      <c r="E115" s="191">
        <v>8.5</v>
      </c>
      <c r="F115" s="191">
        <v>10</v>
      </c>
    </row>
    <row r="116" spans="1:9" s="21" customFormat="1">
      <c r="A116" s="19"/>
      <c r="B116" s="149"/>
      <c r="C116" s="191">
        <v>7.9</v>
      </c>
      <c r="D116" s="191">
        <v>9.4</v>
      </c>
      <c r="E116" s="191">
        <v>8.9</v>
      </c>
      <c r="F116" s="191">
        <v>9</v>
      </c>
    </row>
    <row r="117" spans="1:9" s="21" customFormat="1">
      <c r="A117" s="19"/>
      <c r="B117" s="149"/>
      <c r="C117" s="191">
        <v>8.5</v>
      </c>
      <c r="D117" s="191">
        <v>8.1999999999999993</v>
      </c>
      <c r="E117" s="191">
        <v>8.8000000000000007</v>
      </c>
      <c r="F117" s="191">
        <v>9.4</v>
      </c>
    </row>
    <row r="118" spans="1:9" s="21" customFormat="1">
      <c r="A118" s="19"/>
      <c r="B118" s="149"/>
      <c r="C118" s="191">
        <v>7.5</v>
      </c>
      <c r="D118" s="191">
        <v>8.4</v>
      </c>
      <c r="E118" s="191">
        <v>9.5</v>
      </c>
      <c r="F118" s="191">
        <v>10.4</v>
      </c>
    </row>
    <row r="119" spans="1:9" s="21" customFormat="1">
      <c r="A119" s="19"/>
      <c r="B119" s="149"/>
      <c r="C119" s="191">
        <v>8.1999999999999993</v>
      </c>
      <c r="D119" s="191">
        <v>9.6999999999999993</v>
      </c>
      <c r="E119" s="191">
        <v>9.3000000000000007</v>
      </c>
      <c r="F119" s="191">
        <v>9.6</v>
      </c>
    </row>
    <row r="120" spans="1:9" s="21" customFormat="1">
      <c r="A120" s="19"/>
      <c r="B120" s="149"/>
      <c r="C120" s="191">
        <v>9.5</v>
      </c>
      <c r="D120" s="191">
        <v>9.1999999999999993</v>
      </c>
      <c r="E120" s="191">
        <v>9.8000000000000007</v>
      </c>
      <c r="F120" s="191">
        <v>9</v>
      </c>
    </row>
    <row r="121" spans="1:9" s="21" customFormat="1">
      <c r="A121" s="19"/>
      <c r="B121" s="149"/>
      <c r="C121" s="191">
        <v>9.4</v>
      </c>
      <c r="D121" s="191">
        <v>8</v>
      </c>
      <c r="E121" s="191">
        <v>9</v>
      </c>
      <c r="F121" s="191">
        <v>9.8000000000000007</v>
      </c>
    </row>
    <row r="122" spans="1:9" s="21" customFormat="1">
      <c r="A122" s="19"/>
      <c r="B122" s="192"/>
      <c r="C122" s="191">
        <v>8.6</v>
      </c>
      <c r="D122" s="191">
        <v>10.8</v>
      </c>
      <c r="E122" s="191">
        <v>9.1</v>
      </c>
      <c r="F122" s="191">
        <v>9.5</v>
      </c>
    </row>
    <row r="123" spans="1:9" s="21" customFormat="1">
      <c r="A123" s="19"/>
      <c r="B123" s="23" t="s">
        <v>72</v>
      </c>
      <c r="C123" s="24"/>
      <c r="D123" s="24"/>
      <c r="E123" s="24"/>
      <c r="F123" s="24"/>
      <c r="I123" s="25"/>
    </row>
    <row r="124" spans="1:9" s="21" customFormat="1">
      <c r="A124" s="19" t="s">
        <v>73</v>
      </c>
      <c r="B124" s="23" t="s">
        <v>224</v>
      </c>
      <c r="C124" s="24"/>
      <c r="D124" s="24"/>
      <c r="E124" s="24"/>
      <c r="F124" s="24"/>
      <c r="I124" s="25"/>
    </row>
    <row r="125" spans="1:9" s="21" customFormat="1">
      <c r="A125" s="19" t="s">
        <v>74</v>
      </c>
      <c r="B125" s="21" t="s">
        <v>225</v>
      </c>
      <c r="G125" s="41"/>
      <c r="I125" s="25"/>
    </row>
    <row r="126" spans="1:9" s="21" customFormat="1">
      <c r="A126" s="19"/>
      <c r="B126" s="21" t="s">
        <v>226</v>
      </c>
      <c r="G126" s="41"/>
      <c r="I126" s="25"/>
    </row>
    <row r="127" spans="1:9" s="21" customFormat="1">
      <c r="A127" s="19" t="s">
        <v>227</v>
      </c>
      <c r="B127" s="23" t="s">
        <v>228</v>
      </c>
      <c r="C127" s="24"/>
      <c r="D127" s="47"/>
      <c r="E127" s="47"/>
      <c r="F127" s="25"/>
      <c r="G127" s="49"/>
    </row>
    <row r="128" spans="1:9" s="21" customFormat="1">
      <c r="A128" s="19" t="s">
        <v>229</v>
      </c>
      <c r="B128" s="23" t="s">
        <v>230</v>
      </c>
      <c r="C128" s="24"/>
      <c r="D128" s="47"/>
      <c r="E128" s="47"/>
      <c r="F128" s="25"/>
      <c r="G128" s="49"/>
      <c r="I128" s="25"/>
    </row>
    <row r="129" spans="1:9" s="21" customFormat="1" ht="15">
      <c r="A129" s="19"/>
      <c r="B129" s="23" t="s">
        <v>41</v>
      </c>
      <c r="C129" s="24"/>
      <c r="D129" s="47"/>
      <c r="E129" s="47"/>
      <c r="F129" s="25"/>
      <c r="G129" s="49"/>
      <c r="I129" s="25"/>
    </row>
    <row r="130" spans="1:9" s="21" customFormat="1" ht="15">
      <c r="A130" s="19"/>
      <c r="B130" s="23" t="s">
        <v>42</v>
      </c>
      <c r="C130" s="24"/>
      <c r="D130" s="47"/>
      <c r="E130" s="47"/>
      <c r="F130" s="25"/>
      <c r="G130" s="49"/>
      <c r="I130" s="25"/>
    </row>
    <row r="131" spans="1:9" s="21" customFormat="1">
      <c r="A131" s="50"/>
      <c r="B131" s="25"/>
      <c r="C131" s="24"/>
      <c r="D131" s="24"/>
      <c r="E131" s="24"/>
      <c r="F131" s="24"/>
      <c r="I131" s="26"/>
    </row>
    <row r="132" spans="1:9" s="21" customFormat="1">
      <c r="A132" s="19"/>
      <c r="B132" s="27"/>
      <c r="C132" s="24"/>
      <c r="D132" s="24"/>
      <c r="E132" s="24"/>
      <c r="F132" s="24"/>
      <c r="I132" s="26"/>
    </row>
    <row r="133" spans="1:9" s="195" customFormat="1" ht="15">
      <c r="A133" s="19"/>
      <c r="B133" s="28" t="s">
        <v>14</v>
      </c>
      <c r="C133" s="193">
        <f>SUM(C114:C122)</f>
        <v>78</v>
      </c>
      <c r="D133" s="193">
        <f>SUM(D114:D122)</f>
        <v>81.899999999999991</v>
      </c>
      <c r="E133" s="193">
        <f>SUM(E114:E122)</f>
        <v>81.899999999999991</v>
      </c>
      <c r="F133" s="193">
        <f>SUM(F114:F122)</f>
        <v>86.8</v>
      </c>
      <c r="G133" s="30">
        <f>SUM(C133:F133)</f>
        <v>328.59999999999997</v>
      </c>
      <c r="H133" s="31" t="s">
        <v>231</v>
      </c>
      <c r="I133" s="194"/>
    </row>
    <row r="134" spans="1:9" s="195" customFormat="1" ht="15">
      <c r="A134" s="19"/>
      <c r="B134" s="28" t="s">
        <v>35</v>
      </c>
      <c r="C134" s="34">
        <f>AVERAGE(C114:C122)</f>
        <v>8.6666666666666661</v>
      </c>
      <c r="D134" s="34">
        <f>AVERAGE(D114:D122)</f>
        <v>9.1</v>
      </c>
      <c r="E134" s="34">
        <f>AVERAGE(E114:E122)</f>
        <v>9.1</v>
      </c>
      <c r="F134" s="34">
        <f>AVERAGE(F114:F122)</f>
        <v>9.6444444444444439</v>
      </c>
      <c r="G134" s="30">
        <f>C105*C106</f>
        <v>36</v>
      </c>
      <c r="H134" s="31" t="s">
        <v>232</v>
      </c>
      <c r="I134" s="194"/>
    </row>
    <row r="135" spans="1:9" s="21" customFormat="1">
      <c r="A135" s="19"/>
      <c r="B135" s="28"/>
      <c r="C135" s="29"/>
      <c r="D135" s="29"/>
      <c r="E135" s="29"/>
      <c r="F135" s="29"/>
      <c r="G135" s="32"/>
      <c r="H135" s="32"/>
      <c r="I135" s="25"/>
    </row>
    <row r="136" spans="1:9" s="21" customFormat="1">
      <c r="A136" s="19" t="s">
        <v>73</v>
      </c>
      <c r="B136" s="28" t="s">
        <v>198</v>
      </c>
      <c r="C136" s="33">
        <f>SUMSQ(C114:F122)-SUMSQ(C133:F133)/C105</f>
        <v>13.482222222221935</v>
      </c>
      <c r="D136" s="34"/>
      <c r="E136" s="34"/>
      <c r="F136" s="28"/>
      <c r="G136" s="35"/>
      <c r="H136" s="32"/>
      <c r="I136" s="25"/>
    </row>
    <row r="137" spans="1:9" s="21" customFormat="1">
      <c r="A137" s="19"/>
      <c r="B137" s="36" t="s">
        <v>199</v>
      </c>
      <c r="C137" s="37">
        <f>(C105-1)*C106</f>
        <v>32</v>
      </c>
      <c r="D137" s="32"/>
      <c r="E137" s="28"/>
      <c r="F137" s="36"/>
      <c r="G137" s="35"/>
      <c r="H137" s="32"/>
      <c r="I137" s="25"/>
    </row>
    <row r="138" spans="1:9" s="21" customFormat="1">
      <c r="A138" s="19"/>
      <c r="B138" s="28" t="s">
        <v>200</v>
      </c>
      <c r="C138" s="35">
        <f>C136/C137</f>
        <v>0.42131944444443548</v>
      </c>
      <c r="D138" s="32"/>
      <c r="E138" s="28"/>
      <c r="F138" s="28"/>
      <c r="G138" s="35"/>
      <c r="H138" s="32"/>
      <c r="I138" s="25"/>
    </row>
    <row r="139" spans="1:9" s="21" customFormat="1" ht="15">
      <c r="A139" s="19"/>
      <c r="B139" s="28" t="s">
        <v>20</v>
      </c>
      <c r="C139" s="35">
        <f>SQRT(C138/C105)</f>
        <v>0.21636374836126609</v>
      </c>
      <c r="D139" s="32"/>
      <c r="E139" s="28"/>
      <c r="F139" s="28"/>
      <c r="G139" s="35"/>
      <c r="H139" s="32"/>
      <c r="I139" s="25"/>
    </row>
    <row r="140" spans="1:9" s="21" customFormat="1">
      <c r="A140" s="19"/>
      <c r="B140" s="28" t="s">
        <v>201</v>
      </c>
      <c r="C140" s="39">
        <v>0.95</v>
      </c>
      <c r="D140" s="32"/>
      <c r="E140" s="28"/>
      <c r="F140" s="32"/>
      <c r="G140" s="32"/>
      <c r="H140" s="32"/>
      <c r="I140" s="25"/>
    </row>
    <row r="141" spans="1:9" s="21" customFormat="1">
      <c r="A141" s="19"/>
      <c r="B141" s="36" t="s">
        <v>202</v>
      </c>
      <c r="C141" s="35">
        <f>TINV(1-C140,C137)</f>
        <v>2.0369333434601011</v>
      </c>
      <c r="D141" s="32"/>
      <c r="E141" s="28"/>
      <c r="F141" s="36"/>
      <c r="G141" s="33"/>
      <c r="H141" s="32"/>
      <c r="I141" s="25"/>
    </row>
    <row r="142" spans="1:9" s="21" customFormat="1">
      <c r="A142" s="19"/>
      <c r="B142" s="36" t="s">
        <v>203</v>
      </c>
      <c r="C142" s="35">
        <f>C139*C141</f>
        <v>0.4407185333530737</v>
      </c>
      <c r="D142" s="32"/>
      <c r="E142" s="28"/>
      <c r="F142" s="36"/>
      <c r="G142" s="33"/>
      <c r="H142" s="32"/>
      <c r="I142" s="25"/>
    </row>
    <row r="143" spans="1:9" s="21" customFormat="1">
      <c r="A143" s="19"/>
      <c r="B143" s="36"/>
      <c r="C143" s="33"/>
      <c r="D143" s="32"/>
      <c r="E143" s="28"/>
      <c r="F143" s="36"/>
      <c r="G143" s="33"/>
      <c r="H143" s="32"/>
      <c r="I143" s="25"/>
    </row>
    <row r="144" spans="1:9" s="21" customFormat="1">
      <c r="A144" s="19" t="s">
        <v>74</v>
      </c>
      <c r="B144" s="36" t="s">
        <v>233</v>
      </c>
      <c r="C144" s="37">
        <f>AVERAGE(C113:F113)</f>
        <v>4000</v>
      </c>
      <c r="D144" s="32"/>
      <c r="E144" s="28"/>
      <c r="F144" s="36"/>
      <c r="G144" s="33"/>
      <c r="H144" s="32"/>
      <c r="I144" s="25"/>
    </row>
    <row r="145" spans="1:11" s="21" customFormat="1" ht="15">
      <c r="A145" s="19"/>
      <c r="B145" s="53" t="s">
        <v>48</v>
      </c>
      <c r="C145" s="196">
        <f>(C113-$C144)/100</f>
        <v>-40</v>
      </c>
      <c r="D145" s="196">
        <f>(D113-$C144)/100</f>
        <v>-31</v>
      </c>
      <c r="E145" s="196">
        <f>(E113-$C144)/100</f>
        <v>13</v>
      </c>
      <c r="F145" s="196">
        <f>(F113-$C144)/100</f>
        <v>58</v>
      </c>
      <c r="G145" s="37"/>
      <c r="H145" s="32"/>
      <c r="K145" s="197"/>
    </row>
    <row r="146" spans="1:11" s="21" customFormat="1">
      <c r="A146" s="19"/>
      <c r="B146" s="36"/>
      <c r="C146" s="35"/>
      <c r="D146" s="32"/>
      <c r="E146" s="28"/>
      <c r="F146" s="36"/>
      <c r="G146" s="35"/>
      <c r="H146" s="32"/>
      <c r="I146" s="25"/>
    </row>
    <row r="147" spans="1:11" s="21" customFormat="1">
      <c r="A147" s="19" t="s">
        <v>227</v>
      </c>
      <c r="B147" s="28" t="s">
        <v>75</v>
      </c>
      <c r="C147" s="35"/>
      <c r="D147" s="32"/>
      <c r="E147" s="28"/>
      <c r="F147" s="28"/>
      <c r="G147" s="35"/>
      <c r="H147" s="32"/>
      <c r="I147" s="25"/>
    </row>
    <row r="148" spans="1:11" s="21" customFormat="1">
      <c r="A148" s="19"/>
      <c r="B148" s="54" t="s">
        <v>76</v>
      </c>
      <c r="C148" s="54" t="s">
        <v>1</v>
      </c>
      <c r="D148" s="54" t="s">
        <v>0</v>
      </c>
      <c r="E148" s="54" t="s">
        <v>2</v>
      </c>
      <c r="F148" s="54" t="s">
        <v>77</v>
      </c>
      <c r="G148" s="54" t="s">
        <v>78</v>
      </c>
      <c r="H148" s="54" t="s">
        <v>79</v>
      </c>
      <c r="I148" s="25"/>
    </row>
    <row r="149" spans="1:11" s="21" customFormat="1">
      <c r="A149" s="44"/>
      <c r="B149" s="34" t="s">
        <v>3</v>
      </c>
      <c r="C149" s="45">
        <f>C106-1</f>
        <v>3</v>
      </c>
      <c r="D149" s="34">
        <f>SUMSQ(C133:F133)/C105-G133^2/G134</f>
        <v>4.3300000000008367</v>
      </c>
      <c r="E149" s="46"/>
      <c r="F149" s="46"/>
      <c r="G149" s="46"/>
      <c r="H149" s="46"/>
      <c r="I149" s="47"/>
    </row>
    <row r="150" spans="1:11" s="21" customFormat="1">
      <c r="A150" s="19"/>
      <c r="B150" s="28" t="s">
        <v>80</v>
      </c>
      <c r="C150" s="56">
        <v>1</v>
      </c>
      <c r="D150" s="28">
        <f>C105*(SUMPRODUCT(C134:F134,C145:F145))^2/SUMSQ(C145:F145)</f>
        <v>3.533093388761257</v>
      </c>
      <c r="E150" s="53">
        <f>D150/C150</f>
        <v>3.533093388761257</v>
      </c>
      <c r="F150" s="53">
        <f>E150/E152</f>
        <v>8.385782890747187</v>
      </c>
      <c r="G150" s="53">
        <f>FINV(0.05,C150,C152)</f>
        <v>4.1490974456995477</v>
      </c>
      <c r="H150" s="59">
        <f>D150/D149</f>
        <v>0.81595690271606791</v>
      </c>
      <c r="I150" s="25"/>
    </row>
    <row r="151" spans="1:11" s="21" customFormat="1">
      <c r="A151" s="19"/>
      <c r="B151" s="28" t="s">
        <v>81</v>
      </c>
      <c r="C151" s="56">
        <f>C149-C150</f>
        <v>2</v>
      </c>
      <c r="D151" s="53">
        <f>D149-D150</f>
        <v>0.79690661123957973</v>
      </c>
      <c r="E151" s="53">
        <f>D151/C151</f>
        <v>0.39845330561978987</v>
      </c>
      <c r="F151" s="53">
        <f>E151/E152</f>
        <v>0.94572731183865111</v>
      </c>
      <c r="G151" s="53">
        <f>FINV(0.05,C151,C152)</f>
        <v>3.2945368164911413</v>
      </c>
      <c r="H151" s="59">
        <f>1-H150</f>
        <v>0.18404309728393209</v>
      </c>
      <c r="I151" s="25"/>
    </row>
    <row r="152" spans="1:11" s="21" customFormat="1">
      <c r="A152" s="44"/>
      <c r="B152" s="29" t="s">
        <v>82</v>
      </c>
      <c r="C152" s="45">
        <f>(C105-1)*C106</f>
        <v>32</v>
      </c>
      <c r="D152" s="46">
        <f>C136</f>
        <v>13.482222222221935</v>
      </c>
      <c r="E152" s="46">
        <f>D152/C152</f>
        <v>0.42131944444443548</v>
      </c>
      <c r="F152" s="46"/>
      <c r="G152" s="46"/>
      <c r="H152" s="46"/>
      <c r="I152" s="47"/>
    </row>
    <row r="153" spans="1:11" s="21" customFormat="1">
      <c r="A153" s="19"/>
      <c r="B153" s="37" t="s">
        <v>83</v>
      </c>
      <c r="C153" s="62">
        <f>C149+C152</f>
        <v>35</v>
      </c>
      <c r="D153" s="198">
        <f>D149+D152</f>
        <v>17.812222222222772</v>
      </c>
      <c r="E153" s="198"/>
      <c r="F153" s="64"/>
      <c r="G153" s="64"/>
      <c r="H153" s="64"/>
      <c r="I153" s="25"/>
    </row>
    <row r="154" spans="1:11" s="21" customFormat="1">
      <c r="A154" s="19"/>
      <c r="B154" s="28"/>
      <c r="C154" s="34"/>
      <c r="D154" s="34"/>
      <c r="E154" s="28"/>
      <c r="F154" s="28"/>
      <c r="G154" s="34"/>
      <c r="H154" s="34"/>
      <c r="I154" s="25"/>
    </row>
    <row r="155" spans="1:11" s="21" customFormat="1" ht="15">
      <c r="A155" s="19" t="s">
        <v>229</v>
      </c>
      <c r="B155" s="28" t="s">
        <v>59</v>
      </c>
      <c r="C155" s="65">
        <f>H150</f>
        <v>0.81595690271606791</v>
      </c>
      <c r="D155" s="66"/>
      <c r="E155" s="28"/>
      <c r="F155" s="28"/>
      <c r="G155" s="66"/>
      <c r="H155" s="66"/>
      <c r="I155" s="25"/>
    </row>
    <row r="156" spans="1:11" s="21" customFormat="1">
      <c r="A156" s="19"/>
      <c r="B156" s="28" t="s">
        <v>234</v>
      </c>
      <c r="C156" s="35" t="s">
        <v>235</v>
      </c>
      <c r="D156" s="66"/>
      <c r="E156" s="28"/>
      <c r="F156" s="28"/>
      <c r="G156" s="66"/>
      <c r="H156" s="66"/>
      <c r="I156" s="25"/>
    </row>
    <row r="157" spans="1:11" s="21" customFormat="1">
      <c r="A157" s="19"/>
      <c r="B157" s="68" t="s">
        <v>4</v>
      </c>
      <c r="C157" s="37">
        <f>SUM(C134:F134)</f>
        <v>36.511111111111113</v>
      </c>
      <c r="D157" s="68" t="s">
        <v>5</v>
      </c>
      <c r="E157" s="37">
        <f>SUM(C145:F145)</f>
        <v>0</v>
      </c>
      <c r="F157" s="32"/>
      <c r="G157" s="32"/>
      <c r="H157" s="32"/>
      <c r="I157" s="25"/>
    </row>
    <row r="158" spans="1:11" s="21" customFormat="1" ht="15">
      <c r="A158" s="19"/>
      <c r="B158" s="28" t="s">
        <v>6</v>
      </c>
      <c r="C158" s="37">
        <f>C157^2</f>
        <v>1333.0612345679015</v>
      </c>
      <c r="D158" s="28" t="s">
        <v>7</v>
      </c>
      <c r="E158" s="37">
        <f>E157^2</f>
        <v>0</v>
      </c>
      <c r="F158" s="28"/>
      <c r="G158" s="39"/>
      <c r="H158" s="32"/>
      <c r="I158" s="25"/>
    </row>
    <row r="159" spans="1:11" s="21" customFormat="1" ht="15">
      <c r="A159" s="19"/>
      <c r="B159" s="28" t="s">
        <v>62</v>
      </c>
      <c r="C159" s="37">
        <f>C106*SUMSQ(C134:F134)</f>
        <v>1334.9856790123456</v>
      </c>
      <c r="D159" s="28" t="s">
        <v>63</v>
      </c>
      <c r="E159" s="37">
        <f>C106*SUMSQ(C145:F145)</f>
        <v>24376</v>
      </c>
      <c r="F159" s="28"/>
      <c r="G159" s="70"/>
      <c r="H159" s="70"/>
      <c r="I159" s="25"/>
    </row>
    <row r="160" spans="1:11" s="21" customFormat="1">
      <c r="A160" s="19"/>
      <c r="B160" s="28"/>
      <c r="C160" s="28" t="s">
        <v>64</v>
      </c>
      <c r="D160" s="37">
        <f>C106*SUMPRODUCT(C134:F134,C145:F145)</f>
        <v>195.64444444444439</v>
      </c>
      <c r="E160" s="32"/>
      <c r="F160" s="28"/>
      <c r="G160" s="34"/>
      <c r="H160" s="34"/>
      <c r="I160" s="25"/>
    </row>
    <row r="161" spans="1:9" s="21" customFormat="1" ht="15">
      <c r="A161" s="19"/>
      <c r="B161" s="28" t="s">
        <v>8</v>
      </c>
      <c r="C161" s="35">
        <f>(D160-C157*E157)^2/((C159-C158)*(E159-E158))</f>
        <v>0.81595690271635712</v>
      </c>
      <c r="D161" s="34"/>
      <c r="E161" s="36"/>
      <c r="F161" s="36"/>
      <c r="G161" s="29"/>
      <c r="H161" s="34"/>
      <c r="I161" s="25"/>
    </row>
    <row r="162" spans="1:9" s="21" customFormat="1">
      <c r="A162" s="19"/>
      <c r="B162" s="40"/>
      <c r="C162" s="74"/>
      <c r="D162" s="74"/>
      <c r="G162" s="75"/>
    </row>
    <row r="163" spans="1:9" s="21" customFormat="1">
      <c r="A163" s="19"/>
      <c r="B163" s="40"/>
      <c r="C163" s="74"/>
      <c r="D163" s="74"/>
      <c r="G163" s="75"/>
    </row>
    <row r="164" spans="1:9" s="21" customFormat="1">
      <c r="A164" s="19"/>
      <c r="B164" s="73"/>
    </row>
    <row r="165" spans="1:9" s="21" customFormat="1">
      <c r="A165" s="8" t="s">
        <v>84</v>
      </c>
      <c r="B165" s="147" t="s">
        <v>124</v>
      </c>
      <c r="C165" s="76" t="s">
        <v>125</v>
      </c>
      <c r="D165" s="77">
        <v>4.5</v>
      </c>
      <c r="E165" s="146"/>
      <c r="F165" s="146"/>
      <c r="G165" s="75"/>
    </row>
    <row r="166" spans="1:9" s="21" customFormat="1">
      <c r="A166" s="19"/>
      <c r="B166" s="78"/>
      <c r="C166" s="76" t="s">
        <v>126</v>
      </c>
      <c r="D166" s="79">
        <v>17</v>
      </c>
      <c r="E166" s="146"/>
      <c r="F166" s="146"/>
      <c r="G166" s="75"/>
    </row>
    <row r="167" spans="1:9" s="21" customFormat="1">
      <c r="A167" s="19"/>
      <c r="B167" s="78"/>
      <c r="C167" s="76" t="s">
        <v>127</v>
      </c>
      <c r="D167" s="79">
        <v>3</v>
      </c>
      <c r="E167" s="146"/>
      <c r="F167" s="146"/>
      <c r="G167" s="75"/>
    </row>
    <row r="168" spans="1:9" s="21" customFormat="1">
      <c r="A168" s="19"/>
      <c r="B168" s="78"/>
      <c r="C168" s="76" t="s">
        <v>128</v>
      </c>
      <c r="D168" s="79">
        <v>3</v>
      </c>
      <c r="E168" s="146"/>
      <c r="F168" s="146"/>
      <c r="G168" s="75"/>
    </row>
    <row r="169" spans="1:9" s="21" customFormat="1">
      <c r="A169" s="19"/>
      <c r="B169" s="78"/>
      <c r="C169" s="79" t="s">
        <v>129</v>
      </c>
      <c r="D169" s="80"/>
      <c r="E169" s="146"/>
      <c r="F169" s="146"/>
      <c r="G169" s="75"/>
    </row>
    <row r="170" spans="1:9" s="21" customFormat="1" ht="15">
      <c r="A170" s="19"/>
      <c r="B170" s="151" t="s">
        <v>85</v>
      </c>
      <c r="C170" s="81"/>
      <c r="D170" s="237" t="s">
        <v>130</v>
      </c>
      <c r="E170" s="237"/>
      <c r="F170" s="237"/>
      <c r="G170" s="47"/>
      <c r="H170" s="47"/>
    </row>
    <row r="171" spans="1:9" s="21" customFormat="1">
      <c r="A171" s="19"/>
      <c r="B171" s="151"/>
      <c r="C171" s="152"/>
      <c r="D171" s="82" t="s">
        <v>131</v>
      </c>
      <c r="E171" s="82" t="s">
        <v>132</v>
      </c>
      <c r="F171" s="18" t="s">
        <v>133</v>
      </c>
      <c r="H171" s="47"/>
    </row>
    <row r="172" spans="1:9" s="21" customFormat="1">
      <c r="A172" s="19"/>
      <c r="B172" s="151"/>
      <c r="C172" s="83" t="s">
        <v>131</v>
      </c>
      <c r="D172" s="84">
        <v>12</v>
      </c>
      <c r="E172" s="12">
        <v>13</v>
      </c>
      <c r="F172" s="12">
        <v>20</v>
      </c>
      <c r="H172" s="47"/>
    </row>
    <row r="173" spans="1:9" s="21" customFormat="1">
      <c r="A173" s="19"/>
      <c r="B173" s="85" t="s">
        <v>134</v>
      </c>
      <c r="C173" s="86" t="s">
        <v>132</v>
      </c>
      <c r="D173" s="84">
        <v>13</v>
      </c>
      <c r="E173" s="12">
        <v>12</v>
      </c>
      <c r="F173" s="12">
        <v>11</v>
      </c>
    </row>
    <row r="174" spans="1:9" s="21" customFormat="1">
      <c r="A174" s="19"/>
      <c r="B174" s="85"/>
      <c r="C174" s="86" t="s">
        <v>133</v>
      </c>
      <c r="D174" s="84">
        <v>6</v>
      </c>
      <c r="E174" s="12">
        <v>7</v>
      </c>
      <c r="F174" s="12">
        <v>6</v>
      </c>
    </row>
    <row r="175" spans="1:9" s="21" customFormat="1">
      <c r="A175" s="19"/>
      <c r="B175" s="23" t="s">
        <v>72</v>
      </c>
      <c r="C175" s="87"/>
      <c r="D175" s="87"/>
    </row>
    <row r="176" spans="1:9" s="21" customFormat="1">
      <c r="A176" s="19" t="s">
        <v>73</v>
      </c>
      <c r="B176" s="23" t="s">
        <v>92</v>
      </c>
      <c r="C176" s="74"/>
      <c r="D176" s="74"/>
    </row>
    <row r="177" spans="1:9" s="21" customFormat="1">
      <c r="A177" s="19"/>
      <c r="B177" s="23" t="s">
        <v>93</v>
      </c>
      <c r="C177" s="74"/>
      <c r="D177" s="74"/>
    </row>
    <row r="178" spans="1:9" s="21" customFormat="1">
      <c r="A178" s="19" t="s">
        <v>74</v>
      </c>
      <c r="B178" s="21" t="s">
        <v>94</v>
      </c>
      <c r="C178" s="87"/>
      <c r="D178" s="87"/>
    </row>
    <row r="179" spans="1:9" s="21" customFormat="1">
      <c r="A179" s="19"/>
      <c r="C179" s="74"/>
      <c r="D179" s="74"/>
    </row>
    <row r="180" spans="1:9" s="21" customFormat="1">
      <c r="A180" s="19"/>
      <c r="C180" s="74"/>
      <c r="D180" s="74"/>
    </row>
    <row r="181" spans="1:9" s="21" customFormat="1" ht="15">
      <c r="A181" s="19"/>
      <c r="B181" s="28" t="s">
        <v>95</v>
      </c>
      <c r="C181" s="88"/>
      <c r="D181" s="238" t="s">
        <v>86</v>
      </c>
      <c r="E181" s="238"/>
      <c r="F181" s="238"/>
      <c r="G181" s="34"/>
      <c r="H181" s="34"/>
      <c r="I181" s="32"/>
    </row>
    <row r="182" spans="1:9" s="21" customFormat="1">
      <c r="A182" s="19"/>
      <c r="B182" s="28"/>
      <c r="C182" s="89"/>
      <c r="D182" s="90" t="s">
        <v>96</v>
      </c>
      <c r="E182" s="90" t="s">
        <v>87</v>
      </c>
      <c r="F182" s="54" t="s">
        <v>97</v>
      </c>
      <c r="G182" s="32"/>
      <c r="H182" s="34"/>
      <c r="I182" s="32"/>
    </row>
    <row r="183" spans="1:9" s="21" customFormat="1">
      <c r="A183" s="19"/>
      <c r="B183" s="28"/>
      <c r="C183" s="91" t="s">
        <v>96</v>
      </c>
      <c r="D183" s="92">
        <f t="shared" ref="D183:F185" si="1">D172*$D$166</f>
        <v>204</v>
      </c>
      <c r="E183" s="92">
        <f t="shared" si="1"/>
        <v>221</v>
      </c>
      <c r="F183" s="92">
        <f t="shared" si="1"/>
        <v>340</v>
      </c>
      <c r="G183" s="32"/>
      <c r="H183" s="34"/>
      <c r="I183" s="32"/>
    </row>
    <row r="184" spans="1:9" s="21" customFormat="1">
      <c r="A184" s="19"/>
      <c r="B184" s="36" t="s">
        <v>98</v>
      </c>
      <c r="C184" s="93" t="s">
        <v>87</v>
      </c>
      <c r="D184" s="92">
        <f t="shared" si="1"/>
        <v>221</v>
      </c>
      <c r="E184" s="92">
        <f t="shared" si="1"/>
        <v>204</v>
      </c>
      <c r="F184" s="92">
        <f t="shared" si="1"/>
        <v>187</v>
      </c>
      <c r="G184" s="32"/>
      <c r="H184" s="32"/>
      <c r="I184" s="32"/>
    </row>
    <row r="185" spans="1:9" s="21" customFormat="1">
      <c r="A185" s="19"/>
      <c r="B185" s="36"/>
      <c r="C185" s="93" t="s">
        <v>88</v>
      </c>
      <c r="D185" s="92">
        <f t="shared" si="1"/>
        <v>102</v>
      </c>
      <c r="E185" s="92">
        <f t="shared" si="1"/>
        <v>119</v>
      </c>
      <c r="F185" s="92">
        <f t="shared" si="1"/>
        <v>102</v>
      </c>
      <c r="G185" s="32"/>
      <c r="H185" s="32"/>
      <c r="I185" s="32"/>
    </row>
    <row r="186" spans="1:9" s="21" customFormat="1">
      <c r="A186" s="19"/>
      <c r="B186" s="36"/>
      <c r="C186" s="94"/>
      <c r="D186" s="92"/>
      <c r="E186" s="92"/>
      <c r="F186" s="92"/>
      <c r="G186" s="30">
        <f>SUM(D183:F185)</f>
        <v>1700</v>
      </c>
      <c r="H186" s="31" t="s">
        <v>99</v>
      </c>
      <c r="I186" s="32"/>
    </row>
    <row r="187" spans="1:9" s="21" customFormat="1">
      <c r="A187" s="19"/>
      <c r="B187" s="32"/>
      <c r="C187" s="32"/>
      <c r="D187" s="32"/>
      <c r="E187" s="32"/>
      <c r="F187" s="32"/>
      <c r="G187" s="30">
        <f>D166*D167*D168</f>
        <v>153</v>
      </c>
      <c r="H187" s="31" t="s">
        <v>100</v>
      </c>
      <c r="I187" s="32"/>
    </row>
    <row r="188" spans="1:9" s="21" customFormat="1" ht="15">
      <c r="A188" s="19" t="s">
        <v>101</v>
      </c>
      <c r="B188" s="28" t="s">
        <v>102</v>
      </c>
      <c r="C188" s="88"/>
      <c r="D188" s="238" t="s">
        <v>103</v>
      </c>
      <c r="E188" s="238"/>
      <c r="F188" s="238"/>
      <c r="G188" s="32"/>
      <c r="H188" s="32"/>
      <c r="I188" s="32"/>
    </row>
    <row r="189" spans="1:9" s="21" customFormat="1">
      <c r="A189" s="19"/>
      <c r="B189" s="28"/>
      <c r="C189" s="89"/>
      <c r="D189" s="90" t="s">
        <v>89</v>
      </c>
      <c r="E189" s="90" t="s">
        <v>91</v>
      </c>
      <c r="F189" s="54" t="s">
        <v>88</v>
      </c>
      <c r="G189" s="32"/>
      <c r="H189" s="32"/>
      <c r="I189" s="32"/>
    </row>
    <row r="190" spans="1:9" s="21" customFormat="1">
      <c r="A190" s="19"/>
      <c r="B190" s="28"/>
      <c r="C190" s="91" t="s">
        <v>89</v>
      </c>
      <c r="D190" s="92">
        <v>1</v>
      </c>
      <c r="E190" s="29">
        <v>2</v>
      </c>
      <c r="F190" s="29">
        <v>3</v>
      </c>
      <c r="G190" s="32"/>
      <c r="H190" s="32"/>
      <c r="I190" s="32"/>
    </row>
    <row r="191" spans="1:9" s="21" customFormat="1">
      <c r="A191" s="19"/>
      <c r="B191" s="36" t="s">
        <v>90</v>
      </c>
      <c r="C191" s="93" t="s">
        <v>91</v>
      </c>
      <c r="D191" s="92">
        <v>1</v>
      </c>
      <c r="E191" s="29">
        <v>1</v>
      </c>
      <c r="F191" s="29">
        <v>1</v>
      </c>
      <c r="G191" s="32"/>
      <c r="H191" s="32"/>
      <c r="I191" s="32"/>
    </row>
    <row r="192" spans="1:9" s="21" customFormat="1">
      <c r="A192" s="19"/>
      <c r="B192" s="36"/>
      <c r="C192" s="93" t="s">
        <v>88</v>
      </c>
      <c r="D192" s="92">
        <v>0</v>
      </c>
      <c r="E192" s="29">
        <v>0</v>
      </c>
      <c r="F192" s="29">
        <v>0</v>
      </c>
      <c r="G192" s="32"/>
      <c r="H192" s="32"/>
      <c r="I192" s="32"/>
    </row>
    <row r="193" spans="1:12" s="21" customFormat="1">
      <c r="A193" s="19"/>
      <c r="B193" s="28"/>
      <c r="C193" s="34"/>
      <c r="D193" s="34"/>
      <c r="E193" s="32"/>
      <c r="F193" s="32"/>
      <c r="G193" s="32"/>
      <c r="H193" s="32"/>
      <c r="I193" s="32"/>
      <c r="L193" s="95"/>
    </row>
    <row r="194" spans="1:12" s="21" customFormat="1" ht="15">
      <c r="A194" s="19"/>
      <c r="B194" s="96" t="s">
        <v>104</v>
      </c>
      <c r="C194" s="97"/>
      <c r="D194" s="235" t="s">
        <v>103</v>
      </c>
      <c r="E194" s="235"/>
      <c r="F194" s="236"/>
      <c r="G194" s="32"/>
      <c r="H194" s="32"/>
      <c r="I194" s="32"/>
    </row>
    <row r="195" spans="1:12" s="21" customFormat="1">
      <c r="A195" s="19"/>
      <c r="B195" s="98"/>
      <c r="C195" s="89"/>
      <c r="D195" s="90" t="s">
        <v>89</v>
      </c>
      <c r="E195" s="90" t="s">
        <v>91</v>
      </c>
      <c r="F195" s="99" t="s">
        <v>88</v>
      </c>
      <c r="G195" s="32"/>
      <c r="H195" s="32"/>
      <c r="I195" s="32"/>
    </row>
    <row r="196" spans="1:12" s="21" customFormat="1">
      <c r="A196" s="19"/>
      <c r="B196" s="98"/>
      <c r="C196" s="91" t="s">
        <v>89</v>
      </c>
      <c r="D196" s="92">
        <f>D190-AVERAGE($D$190:$F$192)</f>
        <v>0</v>
      </c>
      <c r="E196" s="92">
        <f t="shared" ref="E196:F196" si="2">E190-AVERAGE($D$190:$F$192)</f>
        <v>1</v>
      </c>
      <c r="F196" s="100">
        <f t="shared" si="2"/>
        <v>2</v>
      </c>
      <c r="G196" s="32"/>
      <c r="H196" s="32"/>
      <c r="I196" s="32"/>
    </row>
    <row r="197" spans="1:12" s="21" customFormat="1">
      <c r="A197" s="19"/>
      <c r="B197" s="101" t="s">
        <v>90</v>
      </c>
      <c r="C197" s="93" t="s">
        <v>91</v>
      </c>
      <c r="D197" s="92">
        <f t="shared" ref="D197:F198" si="3">D191-AVERAGE($D$190:$F$192)</f>
        <v>0</v>
      </c>
      <c r="E197" s="92">
        <f t="shared" si="3"/>
        <v>0</v>
      </c>
      <c r="F197" s="100">
        <f t="shared" si="3"/>
        <v>0</v>
      </c>
      <c r="G197" s="32"/>
      <c r="H197" s="32"/>
      <c r="I197" s="32"/>
    </row>
    <row r="198" spans="1:12" s="21" customFormat="1">
      <c r="A198" s="19"/>
      <c r="B198" s="102"/>
      <c r="C198" s="103" t="s">
        <v>88</v>
      </c>
      <c r="D198" s="104">
        <f t="shared" si="3"/>
        <v>-1</v>
      </c>
      <c r="E198" s="104">
        <f t="shared" si="3"/>
        <v>-1</v>
      </c>
      <c r="F198" s="105">
        <f t="shared" si="3"/>
        <v>-1</v>
      </c>
      <c r="G198" s="32"/>
      <c r="H198" s="32"/>
      <c r="I198" s="32"/>
    </row>
    <row r="199" spans="1:12" s="21" customFormat="1">
      <c r="A199" s="19"/>
      <c r="B199" s="28"/>
      <c r="C199" s="34"/>
      <c r="D199" s="34"/>
      <c r="E199" s="32"/>
      <c r="F199" s="32"/>
      <c r="G199" s="32"/>
      <c r="H199" s="32"/>
      <c r="I199" s="32"/>
    </row>
    <row r="200" spans="1:12" s="21" customFormat="1">
      <c r="A200" s="19" t="s">
        <v>105</v>
      </c>
      <c r="B200" s="96" t="s">
        <v>75</v>
      </c>
      <c r="C200" s="106"/>
      <c r="D200" s="107"/>
      <c r="E200" s="108"/>
      <c r="F200" s="108"/>
      <c r="G200" s="106"/>
      <c r="H200" s="109"/>
      <c r="I200" s="32"/>
    </row>
    <row r="201" spans="1:12" s="21" customFormat="1">
      <c r="A201" s="19"/>
      <c r="B201" s="110" t="s">
        <v>76</v>
      </c>
      <c r="C201" s="54" t="s">
        <v>1</v>
      </c>
      <c r="D201" s="54" t="s">
        <v>0</v>
      </c>
      <c r="E201" s="54" t="s">
        <v>2</v>
      </c>
      <c r="F201" s="54" t="s">
        <v>77</v>
      </c>
      <c r="G201" s="54" t="s">
        <v>78</v>
      </c>
      <c r="H201" s="99" t="s">
        <v>79</v>
      </c>
      <c r="I201" s="32"/>
    </row>
    <row r="202" spans="1:12" s="21" customFormat="1">
      <c r="A202" s="19"/>
      <c r="B202" s="111" t="s">
        <v>3</v>
      </c>
      <c r="C202" s="29">
        <f>D167*D168-1</f>
        <v>8</v>
      </c>
      <c r="D202" s="55">
        <f>SUMSQ(D183:F185)/D166-G186^2/G187</f>
        <v>2667.1111111111095</v>
      </c>
      <c r="E202" s="34"/>
      <c r="F202" s="34"/>
      <c r="G202" s="34"/>
      <c r="H202" s="112"/>
      <c r="I202" s="32"/>
    </row>
    <row r="203" spans="1:12" s="21" customFormat="1">
      <c r="A203" s="19"/>
      <c r="B203" s="98" t="s">
        <v>80</v>
      </c>
      <c r="C203" s="36">
        <v>1</v>
      </c>
      <c r="D203" s="36">
        <f>(D166*SUMPRODUCT(D172:F174,D196:F198)^2)/SUMSQ(D196:F198)</f>
        <v>2456.5</v>
      </c>
      <c r="E203" s="57">
        <f>D203/C203</f>
        <v>2456.5</v>
      </c>
      <c r="F203" s="55">
        <f>E203/E205</f>
        <v>545.88888888888891</v>
      </c>
      <c r="G203" s="55">
        <f>FINV(0.05,C203,C205)</f>
        <v>3.9068489908626223</v>
      </c>
      <c r="H203" s="113">
        <f>D203/D202</f>
        <v>0.92103399433427813</v>
      </c>
      <c r="I203" s="32"/>
    </row>
    <row r="204" spans="1:12" s="21" customFormat="1">
      <c r="A204" s="19"/>
      <c r="B204" s="98" t="s">
        <v>81</v>
      </c>
      <c r="C204" s="36">
        <f>C202-C203</f>
        <v>7</v>
      </c>
      <c r="D204" s="36">
        <f>D202-D203</f>
        <v>210.61111111110949</v>
      </c>
      <c r="E204" s="57">
        <f>D204/C204</f>
        <v>30.087301587301358</v>
      </c>
      <c r="F204" s="55">
        <f>E204/E205</f>
        <v>6.6860670194003013</v>
      </c>
      <c r="G204" s="55">
        <f>FINV(0.05,C204,C205)</f>
        <v>2.0737303309794735</v>
      </c>
      <c r="H204" s="113">
        <f>1-H203</f>
        <v>7.8966005665721872E-2</v>
      </c>
      <c r="I204" s="32"/>
    </row>
    <row r="205" spans="1:12" s="21" customFormat="1">
      <c r="A205" s="19"/>
      <c r="B205" s="114" t="s">
        <v>82</v>
      </c>
      <c r="C205" s="29">
        <f>(D166-1)*(D167*D168)</f>
        <v>144</v>
      </c>
      <c r="D205" s="29">
        <f>E205*C205</f>
        <v>648</v>
      </c>
      <c r="E205" s="55">
        <f>D165</f>
        <v>4.5</v>
      </c>
      <c r="F205" s="55"/>
      <c r="G205" s="55"/>
      <c r="H205" s="112"/>
      <c r="I205" s="32"/>
    </row>
    <row r="206" spans="1:12" s="21" customFormat="1">
      <c r="A206" s="19"/>
      <c r="B206" s="115" t="s">
        <v>83</v>
      </c>
      <c r="C206" s="116">
        <f>C202+C205</f>
        <v>152</v>
      </c>
      <c r="D206" s="116">
        <f>D202+D205</f>
        <v>3315.1111111111095</v>
      </c>
      <c r="E206" s="43"/>
      <c r="F206" s="117"/>
      <c r="G206" s="117"/>
      <c r="H206" s="118"/>
      <c r="I206" s="32"/>
    </row>
    <row r="207" spans="1:12" s="21" customFormat="1">
      <c r="A207" s="19"/>
      <c r="B207" s="25"/>
      <c r="C207" s="47"/>
    </row>
    <row r="208" spans="1:12" s="21" customFormat="1">
      <c r="A208" s="19"/>
      <c r="C208" s="75"/>
    </row>
    <row r="209" spans="1:11" s="21" customFormat="1" ht="15">
      <c r="A209" s="19" t="s">
        <v>106</v>
      </c>
      <c r="B209" s="78" t="s">
        <v>124</v>
      </c>
      <c r="C209" s="78" t="s">
        <v>107</v>
      </c>
      <c r="D209" s="119">
        <v>1</v>
      </c>
      <c r="E209" s="119">
        <v>1</v>
      </c>
      <c r="F209" s="119">
        <v>-1</v>
      </c>
      <c r="G209" s="119">
        <v>-1</v>
      </c>
      <c r="H209" s="147" t="s">
        <v>135</v>
      </c>
      <c r="I209" s="22">
        <f>SUM(D209:G209)</f>
        <v>0</v>
      </c>
      <c r="J209" s="146" t="s">
        <v>108</v>
      </c>
      <c r="K209" s="22">
        <f>SUMPRODUCT(D209:G209,D210:G210)</f>
        <v>0</v>
      </c>
    </row>
    <row r="210" spans="1:11" s="21" customFormat="1" ht="15">
      <c r="A210" s="19"/>
      <c r="B210" s="147"/>
      <c r="C210" s="78" t="s">
        <v>109</v>
      </c>
      <c r="D210" s="119">
        <v>0</v>
      </c>
      <c r="E210" s="119">
        <v>0</v>
      </c>
      <c r="F210" s="119">
        <v>-1</v>
      </c>
      <c r="G210" s="119">
        <v>1</v>
      </c>
      <c r="H210" s="147" t="s">
        <v>136</v>
      </c>
      <c r="I210" s="22">
        <f>SUM(D210:G210)</f>
        <v>0</v>
      </c>
      <c r="J210" s="146"/>
      <c r="K210" s="146"/>
    </row>
    <row r="211" spans="1:11" s="21" customFormat="1">
      <c r="A211" s="19"/>
      <c r="B211" s="2"/>
      <c r="C211" s="78"/>
      <c r="D211" s="119"/>
      <c r="E211" s="119"/>
      <c r="F211" s="119"/>
      <c r="G211" s="119"/>
      <c r="H211" s="2"/>
      <c r="I211" s="22"/>
      <c r="J211" s="20"/>
      <c r="K211" s="20"/>
    </row>
    <row r="212" spans="1:11" s="21" customFormat="1" ht="15">
      <c r="A212" s="19"/>
      <c r="B212" s="28"/>
      <c r="C212" s="36" t="s">
        <v>111</v>
      </c>
      <c r="D212" s="29">
        <v>-1</v>
      </c>
      <c r="E212" s="29">
        <v>3</v>
      </c>
      <c r="F212" s="29">
        <v>-1</v>
      </c>
      <c r="G212" s="29">
        <v>-1</v>
      </c>
      <c r="H212" s="28" t="s">
        <v>110</v>
      </c>
      <c r="I212" s="38">
        <f>SUM(D212:G212)</f>
        <v>0</v>
      </c>
      <c r="J212" s="32" t="s">
        <v>112</v>
      </c>
      <c r="K212" s="38">
        <f>SUMPRODUCT(D210:G210,D212:G212)</f>
        <v>0</v>
      </c>
    </row>
    <row r="213" spans="1:11" s="21" customFormat="1" ht="15">
      <c r="A213" s="19"/>
      <c r="B213" s="28"/>
      <c r="C213" s="37"/>
      <c r="D213" s="32"/>
      <c r="E213" s="32"/>
      <c r="F213" s="32"/>
      <c r="G213" s="32"/>
      <c r="H213" s="32"/>
      <c r="I213" s="32"/>
      <c r="J213" s="32" t="s">
        <v>113</v>
      </c>
      <c r="K213" s="38">
        <f>SUMPRODUCT(D209:G209,D212:G212)</f>
        <v>4</v>
      </c>
    </row>
    <row r="214" spans="1:11" s="21" customFormat="1">
      <c r="A214" s="19"/>
      <c r="B214" s="23" t="s">
        <v>72</v>
      </c>
      <c r="C214" s="23"/>
    </row>
    <row r="215" spans="1:11" s="21" customFormat="1" ht="15">
      <c r="A215" s="19"/>
      <c r="B215" s="23" t="s">
        <v>114</v>
      </c>
      <c r="C215" s="75"/>
    </row>
    <row r="216" spans="1:11" s="21" customFormat="1">
      <c r="A216" s="19"/>
      <c r="B216" s="25"/>
      <c r="C216" s="49"/>
      <c r="K216" s="120"/>
    </row>
    <row r="217" spans="1:11" s="21" customFormat="1">
      <c r="A217" s="19"/>
      <c r="B217" s="25"/>
      <c r="C217" s="49"/>
      <c r="K217" s="120"/>
    </row>
    <row r="218" spans="1:11" s="21" customFormat="1">
      <c r="A218" s="19" t="s">
        <v>137</v>
      </c>
      <c r="B218" s="179" t="s">
        <v>124</v>
      </c>
      <c r="C218" s="153"/>
      <c r="D218" s="180"/>
      <c r="E218" s="180"/>
      <c r="F218" s="180"/>
      <c r="G218" s="180"/>
      <c r="H218" s="180"/>
      <c r="I218" s="180"/>
      <c r="J218" s="180"/>
      <c r="K218" s="180"/>
    </row>
    <row r="219" spans="1:11" s="21" customFormat="1">
      <c r="A219" s="19"/>
      <c r="B219" s="1" t="s">
        <v>170</v>
      </c>
      <c r="C219" s="3"/>
      <c r="D219" s="146"/>
      <c r="E219" s="146"/>
      <c r="F219" s="146"/>
      <c r="G219" s="180"/>
      <c r="H219" s="180"/>
      <c r="I219" s="180"/>
      <c r="J219" s="180"/>
      <c r="K219" s="180"/>
    </row>
    <row r="220" spans="1:11" s="21" customFormat="1">
      <c r="A220" s="19"/>
      <c r="B220" s="146" t="s">
        <v>171</v>
      </c>
      <c r="C220" s="3"/>
      <c r="D220" s="146"/>
      <c r="E220" s="146"/>
      <c r="F220" s="146"/>
      <c r="G220" s="180"/>
      <c r="H220" s="180"/>
      <c r="I220" s="180"/>
      <c r="J220" s="180"/>
      <c r="K220" s="180"/>
    </row>
    <row r="221" spans="1:11" s="21" customFormat="1">
      <c r="A221" s="19"/>
      <c r="B221" s="1" t="s">
        <v>172</v>
      </c>
      <c r="C221" s="3"/>
      <c r="D221" s="146"/>
      <c r="E221" s="146"/>
      <c r="F221" s="146"/>
      <c r="G221" s="180"/>
      <c r="H221" s="180"/>
      <c r="I221" s="180"/>
      <c r="J221" s="180"/>
      <c r="K221" s="180"/>
    </row>
    <row r="222" spans="1:11" s="21" customFormat="1">
      <c r="A222" s="19"/>
      <c r="B222" s="1" t="s">
        <v>173</v>
      </c>
      <c r="C222" s="3"/>
      <c r="D222" s="146"/>
      <c r="E222" s="146"/>
      <c r="F222" s="146"/>
      <c r="G222" s="180"/>
      <c r="H222" s="180"/>
      <c r="I222" s="180"/>
      <c r="J222" s="180"/>
      <c r="K222" s="180"/>
    </row>
    <row r="223" spans="1:11" s="21" customFormat="1">
      <c r="A223" s="19"/>
      <c r="B223" s="76" t="s">
        <v>174</v>
      </c>
      <c r="C223" s="79">
        <v>20000</v>
      </c>
      <c r="D223" s="146"/>
      <c r="E223" s="146"/>
      <c r="F223" s="146"/>
      <c r="G223" s="180"/>
      <c r="H223" s="180"/>
      <c r="I223" s="180"/>
      <c r="J223" s="180"/>
      <c r="K223" s="180"/>
    </row>
    <row r="224" spans="1:11" s="21" customFormat="1">
      <c r="A224" s="19"/>
      <c r="B224" s="76" t="s">
        <v>175</v>
      </c>
      <c r="C224" s="79">
        <v>4</v>
      </c>
      <c r="D224" s="146"/>
      <c r="E224" s="146"/>
      <c r="F224" s="146"/>
      <c r="G224" s="180"/>
      <c r="H224" s="180"/>
      <c r="I224" s="180"/>
      <c r="J224" s="180"/>
      <c r="K224" s="180"/>
    </row>
    <row r="225" spans="1:11" s="21" customFormat="1">
      <c r="A225" s="19"/>
      <c r="B225" s="76" t="s">
        <v>176</v>
      </c>
      <c r="C225" s="22">
        <v>679658.2</v>
      </c>
      <c r="D225" s="146"/>
      <c r="E225" s="146"/>
      <c r="F225" s="146"/>
      <c r="G225" s="180"/>
      <c r="H225" s="180"/>
      <c r="I225" s="180"/>
      <c r="J225" s="180"/>
      <c r="K225" s="180"/>
    </row>
    <row r="226" spans="1:11" s="21" customFormat="1">
      <c r="A226" s="19"/>
      <c r="B226" s="4" t="s">
        <v>33</v>
      </c>
      <c r="C226" s="5">
        <v>66.5</v>
      </c>
      <c r="D226" s="4"/>
      <c r="E226" s="10"/>
      <c r="F226" s="11"/>
      <c r="G226" s="11"/>
      <c r="H226" s="11"/>
      <c r="I226" s="11"/>
      <c r="J226" s="11"/>
      <c r="K226" s="11"/>
    </row>
    <row r="227" spans="1:11" s="21" customFormat="1">
      <c r="A227" s="19"/>
      <c r="B227" s="4" t="s">
        <v>9</v>
      </c>
      <c r="C227" s="5">
        <v>3</v>
      </c>
      <c r="D227" s="4"/>
      <c r="E227" s="10"/>
      <c r="F227" s="11"/>
      <c r="G227" s="11"/>
      <c r="H227" s="11"/>
      <c r="I227" s="11"/>
      <c r="J227" s="11"/>
      <c r="K227" s="11"/>
    </row>
    <row r="228" spans="1:11" s="21" customFormat="1">
      <c r="A228" s="19"/>
      <c r="B228" s="4" t="s">
        <v>10</v>
      </c>
      <c r="C228" s="6">
        <v>-0.02</v>
      </c>
      <c r="D228" s="6">
        <v>-0.01</v>
      </c>
      <c r="E228" s="6">
        <v>0.01</v>
      </c>
      <c r="F228" s="6">
        <v>1.9999999999999997E-2</v>
      </c>
      <c r="G228" s="11"/>
      <c r="H228" s="11"/>
      <c r="I228" s="11"/>
      <c r="J228" s="11"/>
      <c r="K228" s="11"/>
    </row>
    <row r="229" spans="1:11" s="21" customFormat="1">
      <c r="A229" s="19"/>
      <c r="B229" s="4" t="s">
        <v>34</v>
      </c>
      <c r="C229" s="9">
        <v>66.48</v>
      </c>
      <c r="D229" s="9">
        <v>66.489999999999995</v>
      </c>
      <c r="E229" s="9">
        <v>66.510000000000005</v>
      </c>
      <c r="F229" s="9">
        <v>66.52</v>
      </c>
      <c r="G229" s="11"/>
      <c r="H229" s="11"/>
      <c r="I229" s="11"/>
      <c r="J229" s="11"/>
      <c r="K229" s="11"/>
    </row>
    <row r="230" spans="1:11" s="21" customFormat="1">
      <c r="A230" s="19"/>
      <c r="B230" s="149" t="s">
        <v>177</v>
      </c>
      <c r="C230" s="51">
        <v>1</v>
      </c>
      <c r="D230" s="51">
        <v>2</v>
      </c>
      <c r="E230" s="51">
        <v>3</v>
      </c>
      <c r="F230" s="51">
        <v>4</v>
      </c>
      <c r="G230" s="181"/>
      <c r="H230" s="181"/>
      <c r="I230" s="181"/>
      <c r="J230" s="181"/>
      <c r="K230" s="181"/>
    </row>
    <row r="231" spans="1:11" s="21" customFormat="1">
      <c r="A231" s="19"/>
      <c r="B231" s="144" t="s">
        <v>178</v>
      </c>
      <c r="C231" s="182">
        <v>5.0999999999999996</v>
      </c>
      <c r="D231" s="182">
        <v>5.4</v>
      </c>
      <c r="E231" s="182">
        <v>6</v>
      </c>
      <c r="F231" s="182">
        <v>6.5</v>
      </c>
      <c r="G231" s="181"/>
      <c r="H231" s="181"/>
      <c r="I231" s="181"/>
      <c r="J231" s="181"/>
      <c r="K231" s="181"/>
    </row>
    <row r="232" spans="1:11" s="21" customFormat="1">
      <c r="A232" s="19"/>
      <c r="B232" s="145" t="s">
        <v>179</v>
      </c>
      <c r="C232" s="13">
        <v>66.441000000000003</v>
      </c>
      <c r="D232" s="13">
        <v>66.489000000000004</v>
      </c>
      <c r="E232" s="13">
        <v>66.519000000000005</v>
      </c>
      <c r="F232" s="13">
        <v>66.543000000000006</v>
      </c>
      <c r="G232" s="181"/>
      <c r="H232" s="181"/>
      <c r="I232" s="181"/>
      <c r="J232" s="181"/>
      <c r="K232" s="181"/>
    </row>
    <row r="233" spans="1:11" s="21" customFormat="1">
      <c r="A233" s="19"/>
      <c r="B233" s="23" t="s">
        <v>72</v>
      </c>
      <c r="C233" s="23"/>
    </row>
    <row r="234" spans="1:11" s="21" customFormat="1">
      <c r="A234" s="19" t="s">
        <v>73</v>
      </c>
      <c r="B234" s="23" t="s">
        <v>138</v>
      </c>
      <c r="C234" s="75"/>
    </row>
    <row r="235" spans="1:11" s="21" customFormat="1">
      <c r="A235" s="19" t="s">
        <v>139</v>
      </c>
      <c r="B235" s="23" t="s">
        <v>140</v>
      </c>
      <c r="C235" s="75"/>
    </row>
    <row r="236" spans="1:11" s="21" customFormat="1">
      <c r="A236" s="19"/>
      <c r="B236" s="23" t="s">
        <v>141</v>
      </c>
      <c r="C236" s="75"/>
    </row>
    <row r="237" spans="1:11" s="21" customFormat="1">
      <c r="A237" s="19" t="s">
        <v>142</v>
      </c>
      <c r="B237" s="23" t="s">
        <v>143</v>
      </c>
      <c r="C237" s="75"/>
    </row>
    <row r="238" spans="1:11" s="21" customFormat="1">
      <c r="A238" s="19" t="s">
        <v>144</v>
      </c>
      <c r="B238" s="23" t="s">
        <v>145</v>
      </c>
      <c r="C238" s="75"/>
    </row>
    <row r="239" spans="1:11" s="21" customFormat="1">
      <c r="A239" s="19"/>
      <c r="B239" s="23" t="s">
        <v>146</v>
      </c>
    </row>
    <row r="240" spans="1:11" s="21" customFormat="1">
      <c r="A240" s="19" t="s">
        <v>147</v>
      </c>
      <c r="B240" s="21" t="s">
        <v>148</v>
      </c>
      <c r="C240" s="48"/>
      <c r="D240" s="48"/>
      <c r="E240" s="87"/>
    </row>
    <row r="241" spans="1:11" s="21" customFormat="1" ht="15">
      <c r="A241" s="19" t="s">
        <v>149</v>
      </c>
      <c r="B241" s="21" t="s">
        <v>150</v>
      </c>
      <c r="C241" s="48"/>
      <c r="D241" s="48"/>
      <c r="E241" s="87"/>
    </row>
    <row r="242" spans="1:11" s="21" customFormat="1">
      <c r="A242" s="19"/>
      <c r="B242" s="40"/>
      <c r="C242" s="47"/>
      <c r="D242" s="47"/>
      <c r="E242" s="87"/>
    </row>
    <row r="243" spans="1:11" s="21" customFormat="1">
      <c r="A243" s="19"/>
      <c r="B243" s="27"/>
      <c r="C243" s="47"/>
      <c r="D243" s="47"/>
    </row>
    <row r="244" spans="1:11" s="21" customFormat="1" ht="15">
      <c r="A244" s="19"/>
      <c r="B244" s="28" t="s">
        <v>14</v>
      </c>
      <c r="C244" s="29">
        <f>C232*$C223</f>
        <v>1328820</v>
      </c>
      <c r="D244" s="29">
        <f>D232*$C223</f>
        <v>1329780</v>
      </c>
      <c r="E244" s="29">
        <f>E232*$C223</f>
        <v>1330380</v>
      </c>
      <c r="F244" s="29">
        <f>F232*$C223</f>
        <v>1330860.0000000002</v>
      </c>
      <c r="G244" s="30">
        <f>SUM(C244:F244)</f>
        <v>5319840</v>
      </c>
      <c r="H244" s="31" t="s">
        <v>151</v>
      </c>
      <c r="I244" s="32"/>
    </row>
    <row r="245" spans="1:11" s="21" customFormat="1">
      <c r="A245" s="19"/>
      <c r="B245" s="36"/>
      <c r="C245" s="35"/>
      <c r="D245" s="32"/>
      <c r="E245" s="32"/>
      <c r="F245" s="32"/>
      <c r="G245" s="30">
        <f>C223*C224</f>
        <v>80000</v>
      </c>
      <c r="H245" s="31" t="s">
        <v>152</v>
      </c>
      <c r="I245" s="32"/>
    </row>
    <row r="246" spans="1:11" s="21" customFormat="1">
      <c r="A246" s="19" t="s">
        <v>12</v>
      </c>
      <c r="B246" s="28" t="s">
        <v>153</v>
      </c>
      <c r="C246" s="37">
        <f>C225</f>
        <v>679658.2</v>
      </c>
      <c r="D246" s="34"/>
      <c r="E246" s="32"/>
      <c r="F246" s="32"/>
      <c r="G246" s="32"/>
      <c r="H246" s="32"/>
      <c r="I246" s="32"/>
    </row>
    <row r="247" spans="1:11" s="21" customFormat="1">
      <c r="A247" s="19"/>
      <c r="B247" s="36" t="s">
        <v>154</v>
      </c>
      <c r="C247" s="37">
        <f>(C223-1)*C224</f>
        <v>79996</v>
      </c>
      <c r="D247" s="34"/>
      <c r="E247" s="32"/>
      <c r="F247" s="32"/>
      <c r="G247" s="32"/>
      <c r="H247" s="32"/>
      <c r="I247" s="32"/>
    </row>
    <row r="248" spans="1:11" s="21" customFormat="1">
      <c r="A248" s="19"/>
      <c r="B248" s="28" t="s">
        <v>19</v>
      </c>
      <c r="C248" s="35">
        <f>C246/C247</f>
        <v>8.4961523076153806</v>
      </c>
      <c r="D248" s="34"/>
      <c r="E248" s="32"/>
      <c r="F248" s="32"/>
      <c r="G248" s="32"/>
      <c r="H248" s="32"/>
      <c r="I248" s="32"/>
    </row>
    <row r="249" spans="1:11" s="21" customFormat="1" ht="15">
      <c r="A249" s="19"/>
      <c r="B249" s="28" t="s">
        <v>20</v>
      </c>
      <c r="C249" s="154">
        <f>SQRT(C248/C223)</f>
        <v>2.0610861587540903E-2</v>
      </c>
      <c r="D249" s="34"/>
      <c r="E249" s="32"/>
      <c r="F249" s="32"/>
      <c r="G249" s="32"/>
      <c r="H249" s="32"/>
      <c r="I249" s="32"/>
    </row>
    <row r="250" spans="1:11" s="21" customFormat="1">
      <c r="A250" s="19"/>
      <c r="B250" s="28" t="s">
        <v>21</v>
      </c>
      <c r="C250" s="39">
        <v>0.95</v>
      </c>
      <c r="D250" s="32"/>
      <c r="E250" s="32"/>
      <c r="F250" s="32"/>
      <c r="G250" s="32"/>
      <c r="H250" s="32"/>
      <c r="I250" s="32"/>
    </row>
    <row r="251" spans="1:11" s="21" customFormat="1">
      <c r="A251" s="19"/>
      <c r="B251" s="36" t="s">
        <v>155</v>
      </c>
      <c r="C251" s="35">
        <f>TINV(1-C250,C247)</f>
        <v>1.9599936398548554</v>
      </c>
      <c r="D251" s="32"/>
      <c r="E251" s="32"/>
      <c r="F251" s="32"/>
      <c r="G251" s="32"/>
      <c r="H251" s="32"/>
      <c r="I251" s="32"/>
    </row>
    <row r="252" spans="1:11" s="21" customFormat="1">
      <c r="A252" s="19"/>
      <c r="B252" s="36" t="s">
        <v>156</v>
      </c>
      <c r="C252" s="154">
        <f>C249*C251</f>
        <v>4.0397157623508914E-2</v>
      </c>
      <c r="D252" s="32"/>
      <c r="E252" s="32"/>
      <c r="F252" s="32"/>
      <c r="G252" s="32"/>
      <c r="H252" s="32"/>
      <c r="I252" s="32"/>
    </row>
    <row r="253" spans="1:11" s="21" customFormat="1">
      <c r="A253" s="19"/>
      <c r="B253" s="155"/>
      <c r="C253" s="155"/>
      <c r="D253" s="155"/>
      <c r="E253" s="32"/>
      <c r="F253" s="32"/>
      <c r="G253" s="32"/>
      <c r="H253" s="32"/>
      <c r="I253" s="32"/>
    </row>
    <row r="254" spans="1:11" s="21" customFormat="1" ht="15">
      <c r="A254" s="19" t="s">
        <v>139</v>
      </c>
      <c r="B254" s="28" t="s">
        <v>157</v>
      </c>
      <c r="C254" s="156">
        <f>C252*1000</f>
        <v>40.397157623508917</v>
      </c>
      <c r="D254" s="35" t="s">
        <v>158</v>
      </c>
      <c r="E254" s="32"/>
      <c r="F254" s="32"/>
      <c r="G254" s="32"/>
      <c r="H254" s="32"/>
      <c r="I254" s="32"/>
    </row>
    <row r="255" spans="1:11" s="21" customFormat="1">
      <c r="A255" s="19"/>
      <c r="B255" s="155"/>
      <c r="C255" s="155"/>
      <c r="D255" s="155"/>
      <c r="E255" s="32"/>
      <c r="F255" s="32"/>
      <c r="G255" s="32"/>
      <c r="H255" s="32"/>
      <c r="I255" s="32"/>
    </row>
    <row r="256" spans="1:11" s="21" customFormat="1">
      <c r="A256" s="19" t="s">
        <v>159</v>
      </c>
      <c r="B256" s="28" t="s">
        <v>160</v>
      </c>
      <c r="C256" s="35"/>
      <c r="D256" s="32"/>
      <c r="E256" s="28"/>
      <c r="F256" s="28"/>
      <c r="G256" s="35"/>
      <c r="H256" s="32"/>
      <c r="I256" s="28"/>
      <c r="J256" s="25"/>
      <c r="K256" s="23"/>
    </row>
    <row r="257" spans="1:11" s="21" customFormat="1">
      <c r="A257" s="19"/>
      <c r="B257" s="54" t="s">
        <v>161</v>
      </c>
      <c r="C257" s="54" t="s">
        <v>25</v>
      </c>
      <c r="D257" s="54" t="s">
        <v>162</v>
      </c>
      <c r="E257" s="54" t="s">
        <v>163</v>
      </c>
      <c r="F257" s="54" t="s">
        <v>28</v>
      </c>
      <c r="G257" s="54" t="s">
        <v>164</v>
      </c>
      <c r="H257" s="34"/>
      <c r="I257" s="28"/>
    </row>
    <row r="258" spans="1:11" s="47" customFormat="1">
      <c r="A258" s="44"/>
      <c r="B258" s="34" t="s">
        <v>165</v>
      </c>
      <c r="C258" s="45">
        <f>C224-1</f>
        <v>3</v>
      </c>
      <c r="D258" s="157">
        <f>SUMSQ(C244:F244)/C223-G244^2/G245</f>
        <v>115.92000007629395</v>
      </c>
      <c r="E258" s="46">
        <f>D258/C258</f>
        <v>38.640000025431313</v>
      </c>
      <c r="F258" s="46">
        <f>E258/E259</f>
        <v>4.5479410710183492</v>
      </c>
      <c r="G258" s="46">
        <f>FINV(0.05,C258,C259)</f>
        <v>2.605020257927841</v>
      </c>
      <c r="H258" s="34"/>
      <c r="I258" s="34"/>
      <c r="K258" s="48"/>
    </row>
    <row r="259" spans="1:11" s="47" customFormat="1">
      <c r="A259" s="44"/>
      <c r="B259" s="29" t="s">
        <v>166</v>
      </c>
      <c r="C259" s="45">
        <f>C247</f>
        <v>79996</v>
      </c>
      <c r="D259" s="45">
        <f>C246</f>
        <v>679658.2</v>
      </c>
      <c r="E259" s="158">
        <f>D259/C259</f>
        <v>8.4961523076153806</v>
      </c>
      <c r="F259" s="46"/>
      <c r="G259" s="46"/>
      <c r="H259" s="46"/>
      <c r="I259" s="34"/>
      <c r="J259" s="24"/>
    </row>
    <row r="260" spans="1:11" s="21" customFormat="1">
      <c r="A260" s="19"/>
      <c r="B260" s="37" t="s">
        <v>167</v>
      </c>
      <c r="C260" s="37">
        <f>C258+C259</f>
        <v>79999</v>
      </c>
      <c r="D260" s="37">
        <f>D258+D259</f>
        <v>679774.12000007625</v>
      </c>
      <c r="E260" s="35"/>
      <c r="F260" s="32"/>
      <c r="G260" s="32"/>
      <c r="H260" s="32"/>
      <c r="I260" s="32"/>
    </row>
    <row r="261" spans="1:11" s="21" customFormat="1">
      <c r="A261" s="19"/>
      <c r="B261" s="29"/>
      <c r="C261" s="29"/>
      <c r="D261" s="29"/>
      <c r="E261" s="32"/>
      <c r="F261" s="32"/>
      <c r="G261" s="32"/>
      <c r="H261" s="32"/>
      <c r="I261" s="32"/>
    </row>
    <row r="262" spans="1:11" s="21" customFormat="1">
      <c r="A262" s="19" t="s">
        <v>144</v>
      </c>
      <c r="B262" s="36" t="s">
        <v>168</v>
      </c>
      <c r="C262" s="35">
        <f>AVERAGE(C231:F231)</f>
        <v>5.75</v>
      </c>
      <c r="D262" s="32"/>
      <c r="E262" s="28"/>
      <c r="F262" s="36"/>
      <c r="G262" s="33"/>
      <c r="H262" s="32"/>
      <c r="I262" s="28"/>
    </row>
    <row r="263" spans="1:11" s="21" customFormat="1" ht="15">
      <c r="A263" s="19"/>
      <c r="B263" s="53" t="s">
        <v>48</v>
      </c>
      <c r="C263" s="61">
        <f>(C231-$C262)/5</f>
        <v>-0.13000000000000006</v>
      </c>
      <c r="D263" s="61">
        <f>(D231-$C262)/5</f>
        <v>-6.9999999999999923E-2</v>
      </c>
      <c r="E263" s="61">
        <f>(E231-$C262)/5</f>
        <v>0.05</v>
      </c>
      <c r="F263" s="61">
        <f>(F231-$C262)/5</f>
        <v>0.15</v>
      </c>
      <c r="G263" s="37"/>
      <c r="H263" s="32"/>
      <c r="I263" s="32"/>
    </row>
    <row r="264" spans="1:11" s="21" customFormat="1" ht="15" thickBot="1">
      <c r="A264" s="19"/>
      <c r="B264" s="36"/>
      <c r="C264" s="92"/>
      <c r="D264" s="92"/>
      <c r="E264" s="32"/>
      <c r="F264" s="32"/>
      <c r="G264" s="31"/>
      <c r="H264" s="32"/>
      <c r="I264" s="32"/>
    </row>
    <row r="265" spans="1:11" s="21" customFormat="1">
      <c r="A265" s="19" t="s">
        <v>147</v>
      </c>
      <c r="B265" s="159" t="s">
        <v>75</v>
      </c>
      <c r="C265" s="160"/>
      <c r="D265" s="161"/>
      <c r="E265" s="162"/>
      <c r="F265" s="162"/>
      <c r="G265" s="160"/>
      <c r="H265" s="163"/>
      <c r="I265" s="32"/>
    </row>
    <row r="266" spans="1:11" s="21" customFormat="1">
      <c r="A266" s="19"/>
      <c r="B266" s="164" t="s">
        <v>76</v>
      </c>
      <c r="C266" s="54" t="s">
        <v>1</v>
      </c>
      <c r="D266" s="54" t="s">
        <v>0</v>
      </c>
      <c r="E266" s="54" t="s">
        <v>2</v>
      </c>
      <c r="F266" s="54" t="s">
        <v>77</v>
      </c>
      <c r="G266" s="54" t="s">
        <v>78</v>
      </c>
      <c r="H266" s="165" t="s">
        <v>79</v>
      </c>
      <c r="I266" s="32"/>
    </row>
    <row r="267" spans="1:11" s="21" customFormat="1">
      <c r="A267" s="19"/>
      <c r="B267" s="166" t="s">
        <v>3</v>
      </c>
      <c r="C267" s="29">
        <f>C258</f>
        <v>3</v>
      </c>
      <c r="D267" s="157">
        <f>D258</f>
        <v>115.92000007629395</v>
      </c>
      <c r="E267" s="34"/>
      <c r="F267" s="34"/>
      <c r="G267" s="34"/>
      <c r="H267" s="167"/>
      <c r="I267" s="32"/>
    </row>
    <row r="268" spans="1:11" s="21" customFormat="1">
      <c r="A268" s="19"/>
      <c r="B268" s="168" t="s">
        <v>80</v>
      </c>
      <c r="C268" s="36">
        <v>1</v>
      </c>
      <c r="D268" s="169">
        <f>C223*SUMPRODUCT(C232:F232,C263:F263)^2/SUMSQ(C263:F263)</f>
        <v>107.22461538462541</v>
      </c>
      <c r="E268" s="169">
        <f>D268/C268</f>
        <v>107.22461538462541</v>
      </c>
      <c r="F268" s="34">
        <f>E268/E270</f>
        <v>12.620373494071718</v>
      </c>
      <c r="G268" s="34">
        <f>FINV(0.05,C268,C270)</f>
        <v>3.8415750682677885</v>
      </c>
      <c r="H268" s="170">
        <f>D268/D267</f>
        <v>0.92498805481413404</v>
      </c>
      <c r="I268" s="32"/>
    </row>
    <row r="269" spans="1:11" s="21" customFormat="1">
      <c r="A269" s="19"/>
      <c r="B269" s="168" t="s">
        <v>81</v>
      </c>
      <c r="C269" s="36">
        <f>C267-C268</f>
        <v>2</v>
      </c>
      <c r="D269" s="169">
        <f>D267-D268</f>
        <v>8.6953846916685364</v>
      </c>
      <c r="E269" s="169">
        <f>D269/C269</f>
        <v>4.3476923458342682</v>
      </c>
      <c r="F269" s="34">
        <f>E269/E270</f>
        <v>0.51172485949166524</v>
      </c>
      <c r="G269" s="34">
        <f>FINV(0.05,C269,C270)</f>
        <v>2.9958444621116529</v>
      </c>
      <c r="H269" s="170">
        <f>1-H268</f>
        <v>7.5011945185865958E-2</v>
      </c>
      <c r="I269" s="32"/>
    </row>
    <row r="270" spans="1:11" s="21" customFormat="1">
      <c r="A270" s="19"/>
      <c r="B270" s="171" t="s">
        <v>82</v>
      </c>
      <c r="C270" s="29">
        <f>C259</f>
        <v>79996</v>
      </c>
      <c r="D270" s="29">
        <f>C246</f>
        <v>679658.2</v>
      </c>
      <c r="E270" s="157">
        <f>D270/C270</f>
        <v>8.4961523076153806</v>
      </c>
      <c r="F270" s="34"/>
      <c r="G270" s="34"/>
      <c r="H270" s="167"/>
      <c r="I270" s="32"/>
    </row>
    <row r="271" spans="1:11" s="21" customFormat="1" ht="15" thickBot="1">
      <c r="A271" s="19"/>
      <c r="B271" s="172" t="s">
        <v>83</v>
      </c>
      <c r="C271" s="173">
        <f>C267+C270</f>
        <v>79999</v>
      </c>
      <c r="D271" s="173">
        <f>D267+D270</f>
        <v>679774.12000007625</v>
      </c>
      <c r="E271" s="174"/>
      <c r="F271" s="175"/>
      <c r="G271" s="175"/>
      <c r="H271" s="176"/>
      <c r="I271" s="32"/>
    </row>
    <row r="272" spans="1:11" s="21" customFormat="1" ht="15" thickBot="1">
      <c r="A272" s="19"/>
      <c r="B272" s="36"/>
      <c r="C272" s="92"/>
      <c r="D272" s="92"/>
      <c r="E272" s="32"/>
      <c r="F272" s="32"/>
      <c r="G272" s="32"/>
      <c r="H272" s="32"/>
      <c r="I272" s="32"/>
    </row>
    <row r="273" spans="1:15" s="21" customFormat="1" ht="16" thickBot="1">
      <c r="A273" s="19" t="s">
        <v>149</v>
      </c>
      <c r="B273" s="177" t="s">
        <v>169</v>
      </c>
      <c r="C273" s="178">
        <f>(D258-C258*E259)/(D260+E259)</f>
        <v>1.330300908035815E-4</v>
      </c>
      <c r="D273" s="88"/>
      <c r="E273" s="32"/>
      <c r="F273" s="32"/>
      <c r="G273" s="32"/>
      <c r="H273" s="32"/>
      <c r="I273" s="32"/>
    </row>
    <row r="274" spans="1:15" s="21" customFormat="1">
      <c r="A274" s="19"/>
      <c r="B274" s="25"/>
      <c r="C274" s="48"/>
    </row>
    <row r="275" spans="1:15" s="21" customFormat="1">
      <c r="A275" s="19"/>
      <c r="B275" s="40"/>
      <c r="C275" s="47"/>
    </row>
    <row r="276" spans="1:15" s="21" customFormat="1">
      <c r="A276" s="19"/>
      <c r="B276" s="25"/>
      <c r="C276" s="47"/>
    </row>
    <row r="277" spans="1:15">
      <c r="A277" s="121"/>
      <c r="B277" s="122"/>
      <c r="C277" s="123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>
      <c r="A278" s="121"/>
      <c r="B278" s="125"/>
      <c r="C278" s="126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>
      <c r="A279" s="121"/>
      <c r="B279" s="122"/>
      <c r="C279" s="126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>
      <c r="A280" s="121"/>
      <c r="B280" s="122"/>
      <c r="C280" s="126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>
      <c r="A281" s="121"/>
      <c r="B281" s="122"/>
      <c r="C281" s="126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>
      <c r="A282" s="121"/>
      <c r="B282" s="122"/>
      <c r="C282" s="126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>
      <c r="A283" s="121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>
      <c r="A284" s="121"/>
      <c r="B284" s="127"/>
      <c r="C284" s="125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>
      <c r="A285" s="121"/>
      <c r="B285" s="122"/>
      <c r="C285" s="71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>
      <c r="A286" s="121"/>
      <c r="B286" s="122"/>
      <c r="C286" s="71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>
      <c r="A287" s="121"/>
      <c r="B287" s="122"/>
      <c r="C287" s="71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>
      <c r="A288" s="121"/>
      <c r="B288" s="125"/>
      <c r="C288" s="12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>
      <c r="A289" s="121"/>
      <c r="B289" s="71"/>
      <c r="C289" s="125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>
      <c r="A290" s="121"/>
      <c r="B290" s="129"/>
      <c r="C290" s="13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>
      <c r="A291" s="12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>
      <c r="A292" s="121"/>
      <c r="B292" s="129"/>
      <c r="C292" s="129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>
      <c r="A293" s="121"/>
      <c r="B293" s="122"/>
      <c r="C293" s="71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>
      <c r="A294" s="121"/>
      <c r="B294" s="125"/>
      <c r="C294" s="129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>
      <c r="A295" s="121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>
      <c r="A296" s="121"/>
      <c r="B296" s="122"/>
      <c r="C296" s="129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>
      <c r="A297" s="121"/>
      <c r="B297" s="125"/>
      <c r="C297" s="129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>
      <c r="A298" s="121"/>
      <c r="B298" s="122"/>
      <c r="C298" s="129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>
      <c r="A299" s="121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>
      <c r="A300" s="121"/>
      <c r="B300" s="131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>
      <c r="A301" s="121"/>
      <c r="B301" s="122"/>
      <c r="C301" s="123"/>
      <c r="D301" s="123"/>
      <c r="E301" s="132"/>
      <c r="F301"/>
      <c r="G301"/>
      <c r="H301"/>
      <c r="I301"/>
      <c r="J301"/>
      <c r="K301"/>
      <c r="L301"/>
      <c r="M301"/>
      <c r="N301"/>
      <c r="O301"/>
    </row>
    <row r="302" spans="1:15">
      <c r="A302" s="121"/>
      <c r="B302" s="125"/>
      <c r="C302" s="126"/>
      <c r="D302" s="129"/>
      <c r="E302" s="132"/>
      <c r="F302"/>
      <c r="G302"/>
      <c r="H302"/>
      <c r="I302"/>
      <c r="J302"/>
      <c r="K302"/>
      <c r="L302"/>
      <c r="M302"/>
      <c r="N302"/>
      <c r="O302"/>
    </row>
    <row r="303" spans="1:15">
      <c r="A303" s="121"/>
      <c r="B303" s="125"/>
      <c r="C303" s="126"/>
      <c r="D303" s="129"/>
      <c r="E303"/>
      <c r="F303"/>
      <c r="G303"/>
      <c r="H303"/>
      <c r="I303"/>
      <c r="J303"/>
      <c r="K303"/>
      <c r="L303"/>
      <c r="M303"/>
      <c r="N303"/>
      <c r="O303"/>
    </row>
    <row r="304" spans="1:15">
      <c r="A304" s="121"/>
      <c r="B304" s="122"/>
      <c r="C304" s="126"/>
      <c r="D304" s="129"/>
      <c r="E304"/>
      <c r="F304"/>
      <c r="G304"/>
      <c r="H304"/>
      <c r="I304"/>
      <c r="J304"/>
      <c r="K304"/>
      <c r="L304"/>
      <c r="M304"/>
      <c r="N304"/>
      <c r="O304"/>
    </row>
    <row r="305" spans="1:15">
      <c r="A305" s="121"/>
      <c r="B305" s="122"/>
      <c r="C305" s="126"/>
      <c r="D305" s="129"/>
      <c r="E305"/>
      <c r="F305"/>
      <c r="G305"/>
      <c r="H305"/>
      <c r="I305"/>
      <c r="J305"/>
      <c r="K305"/>
      <c r="L305"/>
      <c r="M305"/>
      <c r="N305"/>
      <c r="O305"/>
    </row>
    <row r="306" spans="1:15">
      <c r="A306" s="121"/>
      <c r="B306" s="122"/>
      <c r="C306" s="126"/>
      <c r="D306" s="129"/>
      <c r="E306"/>
      <c r="F306"/>
      <c r="G306"/>
      <c r="H306"/>
      <c r="I306"/>
      <c r="J306"/>
      <c r="K306"/>
      <c r="L306"/>
      <c r="M306"/>
      <c r="N306"/>
      <c r="O306"/>
    </row>
    <row r="307" spans="1:15">
      <c r="A307" s="121"/>
      <c r="B307" s="122"/>
      <c r="C307" s="126"/>
      <c r="D307" s="129"/>
      <c r="E307"/>
      <c r="F307"/>
      <c r="G307"/>
      <c r="H307"/>
      <c r="I307"/>
      <c r="J307"/>
      <c r="K307"/>
      <c r="L307"/>
      <c r="M307"/>
      <c r="N307"/>
      <c r="O307"/>
    </row>
    <row r="308" spans="1:15">
      <c r="A308" s="121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>
      <c r="A309" s="121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>
      <c r="A310" s="121"/>
      <c r="B310" s="131"/>
      <c r="C310" s="126"/>
      <c r="D310" s="126"/>
      <c r="E310"/>
      <c r="F310"/>
      <c r="G310"/>
      <c r="H310"/>
      <c r="I310"/>
      <c r="J310"/>
      <c r="K310"/>
      <c r="L310"/>
      <c r="M310"/>
      <c r="N310"/>
      <c r="O310"/>
    </row>
    <row r="311" spans="1:15">
      <c r="A311" s="121"/>
      <c r="B311" s="133"/>
      <c r="C311" s="133"/>
      <c r="D311" s="133"/>
      <c r="E311"/>
      <c r="F311"/>
      <c r="G311"/>
      <c r="H311"/>
      <c r="I311"/>
      <c r="J311"/>
      <c r="K311"/>
      <c r="L311"/>
      <c r="M311"/>
      <c r="N311"/>
      <c r="O311"/>
    </row>
    <row r="312" spans="1:15">
      <c r="A312" s="121"/>
      <c r="B312" s="134"/>
      <c r="C312" s="134"/>
      <c r="D312" s="134"/>
      <c r="E312"/>
      <c r="F312"/>
      <c r="G312"/>
      <c r="H312"/>
      <c r="I312"/>
      <c r="J312"/>
      <c r="K312"/>
      <c r="L312"/>
      <c r="M312"/>
      <c r="N312"/>
      <c r="O312"/>
    </row>
    <row r="313" spans="1:15">
      <c r="A313" s="121"/>
      <c r="B313" s="134"/>
      <c r="C313" s="134"/>
      <c r="D313" s="134"/>
      <c r="E313"/>
      <c r="F313"/>
      <c r="G313"/>
      <c r="H313"/>
      <c r="I313"/>
      <c r="J313"/>
      <c r="K313"/>
      <c r="L313"/>
      <c r="M313"/>
      <c r="N313"/>
      <c r="O313"/>
    </row>
    <row r="314" spans="1:15">
      <c r="A314" s="121"/>
      <c r="B314" s="134"/>
      <c r="C314" s="134"/>
      <c r="D314" s="134"/>
      <c r="E314"/>
      <c r="F314"/>
      <c r="G314"/>
      <c r="H314"/>
      <c r="I314"/>
      <c r="J314"/>
      <c r="K314"/>
      <c r="L314"/>
      <c r="M314"/>
      <c r="N314"/>
      <c r="O314"/>
    </row>
    <row r="315" spans="1:15">
      <c r="A315" s="121"/>
      <c r="B315" s="125"/>
      <c r="C315" s="135"/>
      <c r="D315" s="135"/>
      <c r="E315"/>
      <c r="F315"/>
      <c r="G315"/>
      <c r="H315"/>
      <c r="I315"/>
      <c r="J315"/>
      <c r="K315"/>
      <c r="L315"/>
      <c r="M315"/>
      <c r="N315"/>
      <c r="O315"/>
    </row>
    <row r="316" spans="1:15">
      <c r="A316" s="121"/>
      <c r="B316" s="122"/>
      <c r="C316" s="135"/>
      <c r="D316" s="135"/>
      <c r="E316"/>
      <c r="F316" s="126"/>
      <c r="G316" s="126"/>
      <c r="H316" s="126"/>
      <c r="I316"/>
      <c r="J316"/>
      <c r="K316"/>
      <c r="L316"/>
      <c r="M316"/>
      <c r="N316"/>
      <c r="O316"/>
    </row>
    <row r="317" spans="1:15">
      <c r="A317" s="121"/>
      <c r="B317" s="122"/>
      <c r="C317" s="136"/>
      <c r="D317" s="136"/>
      <c r="E317" s="122"/>
      <c r="F317" s="126"/>
      <c r="G317" s="126"/>
      <c r="H317" s="126"/>
      <c r="I317"/>
      <c r="J317"/>
      <c r="K317"/>
      <c r="L317"/>
      <c r="M317"/>
      <c r="N317"/>
      <c r="O317"/>
    </row>
    <row r="318" spans="1:15">
      <c r="A318" s="121"/>
      <c r="B318" s="122"/>
      <c r="C318" s="136"/>
      <c r="D318" s="136"/>
      <c r="E318" s="122"/>
      <c r="F318" s="126"/>
      <c r="G318" s="126"/>
      <c r="H318" s="126"/>
      <c r="I318"/>
      <c r="J318"/>
      <c r="K318"/>
      <c r="L318"/>
      <c r="M318"/>
      <c r="N318"/>
      <c r="O318"/>
    </row>
    <row r="319" spans="1:15">
      <c r="A319" s="121"/>
      <c r="B319" s="122"/>
      <c r="C319" s="135"/>
      <c r="D319" s="135"/>
      <c r="E319"/>
      <c r="F319"/>
      <c r="G319"/>
      <c r="H319"/>
      <c r="I319"/>
      <c r="J319"/>
      <c r="K319"/>
      <c r="L319"/>
      <c r="M319"/>
      <c r="N319"/>
      <c r="O319"/>
    </row>
    <row r="320" spans="1:15">
      <c r="A320" s="121"/>
      <c r="B320" s="125"/>
      <c r="C320" s="136"/>
      <c r="D320" s="132"/>
      <c r="E320"/>
      <c r="F320"/>
      <c r="G320"/>
      <c r="H320"/>
      <c r="I320"/>
      <c r="J320"/>
      <c r="K320"/>
      <c r="L320"/>
      <c r="M320"/>
      <c r="N320"/>
      <c r="O320"/>
    </row>
    <row r="321" spans="1:15">
      <c r="A321" s="121"/>
      <c r="B321" s="125"/>
      <c r="C321" s="136"/>
      <c r="D321" s="136"/>
      <c r="E321"/>
      <c r="F321"/>
      <c r="G321"/>
      <c r="H321"/>
      <c r="I321"/>
      <c r="J321"/>
      <c r="K321"/>
      <c r="L321"/>
      <c r="M321"/>
      <c r="N321"/>
      <c r="O321"/>
    </row>
    <row r="322" spans="1:15">
      <c r="A322" s="121"/>
      <c r="B322" s="125"/>
      <c r="C322" s="136"/>
      <c r="D322" s="136"/>
      <c r="E322"/>
      <c r="F322"/>
      <c r="G322"/>
      <c r="H322"/>
      <c r="I322"/>
      <c r="J322"/>
      <c r="K322"/>
      <c r="L322"/>
      <c r="M322"/>
      <c r="N322"/>
      <c r="O322"/>
    </row>
    <row r="323" spans="1:15">
      <c r="A323" s="121"/>
      <c r="B323" s="125"/>
      <c r="C323" s="135"/>
      <c r="D323" s="135"/>
      <c r="E323"/>
      <c r="F323"/>
      <c r="G323"/>
      <c r="H323"/>
      <c r="I323"/>
      <c r="J323"/>
      <c r="K323"/>
      <c r="L323"/>
      <c r="M323"/>
      <c r="N323"/>
      <c r="O323"/>
    </row>
    <row r="324" spans="1:15">
      <c r="A324" s="121"/>
      <c r="B324" s="125"/>
      <c r="C324" s="136"/>
      <c r="D324" s="136"/>
      <c r="E324"/>
      <c r="F324"/>
      <c r="G324"/>
      <c r="H324"/>
      <c r="I324"/>
      <c r="J324"/>
      <c r="K324"/>
      <c r="L324"/>
      <c r="M324"/>
      <c r="N324"/>
      <c r="O324"/>
    </row>
    <row r="325" spans="1:15">
      <c r="A325" s="121"/>
      <c r="B325"/>
      <c r="C325" s="135"/>
      <c r="D325" s="135"/>
      <c r="E325"/>
      <c r="F325"/>
      <c r="G325"/>
      <c r="H325"/>
      <c r="I325"/>
      <c r="J325"/>
      <c r="K325"/>
      <c r="L325"/>
      <c r="M325"/>
      <c r="N325"/>
      <c r="O325"/>
    </row>
    <row r="326" spans="1:15">
      <c r="A326" s="121"/>
      <c r="B326" s="127"/>
      <c r="C326" s="125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>
      <c r="A327" s="121"/>
      <c r="B327" s="122"/>
      <c r="C327" s="71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>
      <c r="A328" s="121"/>
      <c r="B328" s="122"/>
      <c r="C328" s="71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>
      <c r="A329" s="121"/>
      <c r="B329" s="122"/>
      <c r="C329" s="71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>
      <c r="A330" s="121"/>
      <c r="B330" s="125"/>
      <c r="C330" s="128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>
      <c r="A331" s="121"/>
      <c r="B331" s="71"/>
      <c r="C331" s="125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>
      <c r="A332" s="121"/>
      <c r="B332" s="129"/>
      <c r="C332" s="130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>
      <c r="A333" s="121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>
      <c r="A334" s="121"/>
      <c r="B334" s="129"/>
      <c r="C334" s="129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>
      <c r="A335" s="121"/>
      <c r="B335" s="122"/>
      <c r="C335" s="71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>
      <c r="A336" s="121"/>
      <c r="B336" s="125"/>
      <c r="C336" s="129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>
      <c r="A337" s="121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>
      <c r="A338" s="121"/>
      <c r="B338" s="122"/>
      <c r="C338" s="129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>
      <c r="A339" s="121"/>
      <c r="B339" s="125"/>
      <c r="C339" s="12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>
      <c r="A340" s="121"/>
      <c r="B340" s="122"/>
      <c r="C340" s="129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>
      <c r="A341" s="12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>
      <c r="A342" s="121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>
      <c r="A343" s="121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>
      <c r="A344" s="121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>
      <c r="A345" s="121"/>
      <c r="B345" s="127"/>
      <c r="C345" s="12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>
      <c r="A346" s="121"/>
      <c r="B346" s="125"/>
      <c r="C346" s="130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>
      <c r="A347" s="121"/>
      <c r="B347" s="127"/>
      <c r="C347" s="125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>
      <c r="A348" s="121"/>
      <c r="B348" s="122"/>
      <c r="C348" s="71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>
      <c r="A349" s="121"/>
      <c r="B349" s="122"/>
      <c r="C349" s="71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>
      <c r="A350" s="121"/>
      <c r="B350" s="122"/>
      <c r="C350" s="71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>
      <c r="A351" s="121"/>
      <c r="B351" s="125"/>
      <c r="C351" s="128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>
      <c r="A352" s="121"/>
      <c r="B352" s="71"/>
      <c r="C352" s="125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>
      <c r="A353" s="121"/>
      <c r="B353" s="129"/>
      <c r="C353" s="130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>
      <c r="A354" s="121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>
      <c r="A355" s="121"/>
      <c r="B355" s="129"/>
      <c r="C355" s="129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>
      <c r="A356" s="121"/>
      <c r="B356" s="122"/>
      <c r="C356" s="71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>
      <c r="A357" s="121"/>
      <c r="B357" s="125"/>
      <c r="C357" s="129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>
      <c r="A358" s="121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>
      <c r="A359" s="121"/>
      <c r="B359" s="122"/>
      <c r="C359" s="12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>
      <c r="A360" s="121"/>
      <c r="B360" s="125"/>
      <c r="C360" s="129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>
      <c r="A361" s="121"/>
      <c r="B361" s="122"/>
      <c r="C361" s="129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>
      <c r="A362" s="121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>
      <c r="A363" s="121"/>
      <c r="B363" s="122"/>
      <c r="C363" s="71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>
      <c r="A364" s="121"/>
      <c r="B364" s="122"/>
      <c r="C364" s="128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>
      <c r="A365" s="121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>
      <c r="A366" s="121"/>
      <c r="B366" s="122"/>
      <c r="C366" s="129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>
      <c r="A367" s="121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>
      <c r="A368" s="121"/>
      <c r="B368"/>
      <c r="C368" s="122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>
      <c r="A369" s="121"/>
      <c r="B369"/>
      <c r="C369" s="122"/>
      <c r="D369" s="137"/>
      <c r="E369"/>
      <c r="F369"/>
      <c r="G369"/>
      <c r="H369"/>
      <c r="I369"/>
      <c r="J369"/>
      <c r="K369"/>
      <c r="L369"/>
      <c r="M369"/>
      <c r="N369"/>
      <c r="O369"/>
    </row>
    <row r="370" spans="1:15">
      <c r="A370" s="121"/>
      <c r="B370"/>
      <c r="C370" s="122"/>
      <c r="D370" s="129"/>
      <c r="E370"/>
      <c r="F370"/>
      <c r="G370"/>
      <c r="H370"/>
      <c r="I370"/>
      <c r="J370"/>
      <c r="K370"/>
      <c r="L370"/>
      <c r="M370"/>
      <c r="N370"/>
      <c r="O370"/>
    </row>
    <row r="371" spans="1:15">
      <c r="A371" s="121"/>
      <c r="B371"/>
      <c r="C371" s="122"/>
      <c r="D371" s="129"/>
      <c r="E371"/>
      <c r="F371"/>
      <c r="G371"/>
      <c r="H371"/>
      <c r="I371"/>
      <c r="J371"/>
      <c r="K371"/>
      <c r="L371"/>
      <c r="M371"/>
      <c r="N371"/>
      <c r="O371"/>
    </row>
    <row r="372" spans="1:15">
      <c r="A372" s="121"/>
      <c r="B372"/>
      <c r="C372" s="122"/>
      <c r="D372" s="129"/>
      <c r="E372"/>
      <c r="F372"/>
      <c r="G372"/>
      <c r="H372"/>
      <c r="I372"/>
      <c r="J372"/>
      <c r="K372"/>
      <c r="L372"/>
      <c r="M372"/>
      <c r="N372"/>
      <c r="O372"/>
    </row>
    <row r="373" spans="1:15">
      <c r="A373" s="121"/>
      <c r="B373" s="138"/>
      <c r="C373" s="139"/>
      <c r="D373" s="140"/>
      <c r="E373"/>
      <c r="F373"/>
      <c r="G373"/>
      <c r="H373"/>
      <c r="I373"/>
      <c r="J373"/>
      <c r="K373"/>
      <c r="L373"/>
      <c r="M373"/>
      <c r="N373"/>
      <c r="O373"/>
    </row>
    <row r="374" spans="1:15">
      <c r="A374" s="121"/>
      <c r="B374"/>
      <c r="C374" s="141"/>
      <c r="D374" s="142"/>
      <c r="E374"/>
      <c r="F374"/>
      <c r="G374"/>
      <c r="H374"/>
      <c r="I374"/>
      <c r="J374"/>
      <c r="K374"/>
      <c r="L374"/>
      <c r="M374"/>
      <c r="N374"/>
      <c r="O374"/>
    </row>
  </sheetData>
  <mergeCells count="6">
    <mergeCell ref="H14:H15"/>
    <mergeCell ref="D194:F194"/>
    <mergeCell ref="D170:F170"/>
    <mergeCell ref="D181:F181"/>
    <mergeCell ref="D188:F188"/>
    <mergeCell ref="G14:G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14</vt:lpstr>
      <vt:lpstr>Chapter 15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2017-05-12T15:48:10Z</dcterms:modified>
</cp:coreProperties>
</file>